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E:\YiaMyl\Επιφάνεια εργασίας\"/>
    </mc:Choice>
  </mc:AlternateContent>
  <bookViews>
    <workbookView xWindow="0" yWindow="0" windowWidth="20730" windowHeight="10035" tabRatio="863"/>
  </bookViews>
  <sheets>
    <sheet name="ΑΡΧΙΚΗ" sheetId="2" r:id="rId1"/>
    <sheet name="ΔΕΔΟΜΕΝΑ" sheetId="10" r:id="rId2"/>
    <sheet name="SMART " sheetId="25" r:id="rId3"/>
    <sheet name="ΠΑΡΑΔΟΧΕΣ " sheetId="7" r:id="rId4"/>
    <sheet name="ΒΑΣΙΚΟ ΣΕΝΑΡΙΟ" sheetId="4" r:id="rId5"/>
    <sheet name="ΚΟΣΤΟΣ ΕΠΕΝΔΥΣΗΣ" sheetId="11" r:id="rId6"/>
    <sheet name="ΧΡΗΜ. ΑΝΑΛΥΣΗ" sheetId="5" r:id="rId7"/>
    <sheet name="ΕΞΟΔΑ" sheetId="20" r:id="rId8"/>
    <sheet name="ΠΡΟΥΠΟΛΟΓΙΣΜΟΣ" sheetId="21" r:id="rId9"/>
    <sheet name="ΔΑΝΕΙΑ" sheetId="14" r:id="rId10"/>
    <sheet name="ΑΠΟΤΕΛΕΣΜΑΤΑ" sheetId="17" r:id="rId11"/>
    <sheet name="ΤΑΜΕΙΑΚΕΣ ΡΟΕΣ - ΔΕΙΚΤΕΣ" sheetId="13" r:id="rId12"/>
    <sheet name="ΣΥΓΚΕΝΤΡΩΤΙΚΑ" sheetId="22" r:id="rId13"/>
    <sheet name="Sheet1" sheetId="23" state="hidden" r:id="rId14"/>
  </sheets>
  <definedNames>
    <definedName name="_xlnm._FilterDatabase" localSheetId="1" hidden="1">ΔΕΔΟΜΕΝΑ!$F$4:$H$4</definedName>
    <definedName name="solver_adj" localSheetId="11" hidden="1">'ΤΑΜΕΙΑΚΕΣ ΡΟΕΣ - ΔΕΙΚΤΕΣ'!$F$37:$O$37</definedName>
    <definedName name="solver_cvg" localSheetId="11" hidden="1">0.0001</definedName>
    <definedName name="solver_drv" localSheetId="11" hidden="1">1</definedName>
    <definedName name="solver_eng" localSheetId="11" hidden="1">1</definedName>
    <definedName name="solver_est" localSheetId="11" hidden="1">1</definedName>
    <definedName name="solver_itr" localSheetId="11" hidden="1">2147483647</definedName>
    <definedName name="solver_mip" localSheetId="11" hidden="1">2147483647</definedName>
    <definedName name="solver_mni" localSheetId="11" hidden="1">30</definedName>
    <definedName name="solver_mrt" localSheetId="11" hidden="1">0.075</definedName>
    <definedName name="solver_msl" localSheetId="11" hidden="1">2</definedName>
    <definedName name="solver_neg" localSheetId="11" hidden="1">1</definedName>
    <definedName name="solver_nod" localSheetId="11" hidden="1">2147483647</definedName>
    <definedName name="solver_num" localSheetId="11" hidden="1">0</definedName>
    <definedName name="solver_nwt" localSheetId="11" hidden="1">1</definedName>
    <definedName name="solver_opt" localSheetId="11" hidden="1">'ΤΑΜΕΙΑΚΕΣ ΡΟΕΣ - ΔΕΙΚΤΕΣ'!$C$41</definedName>
    <definedName name="solver_pre" localSheetId="11" hidden="1">0.000001</definedName>
    <definedName name="solver_rbv" localSheetId="11" hidden="1">2</definedName>
    <definedName name="solver_rlx" localSheetId="11" hidden="1">2</definedName>
    <definedName name="solver_rsd" localSheetId="11" hidden="1">0</definedName>
    <definedName name="solver_scl" localSheetId="11" hidden="1">2</definedName>
    <definedName name="solver_sho" localSheetId="11" hidden="1">2</definedName>
    <definedName name="solver_ssz" localSheetId="11" hidden="1">0</definedName>
    <definedName name="solver_tim" localSheetId="11" hidden="1">2147483647</definedName>
    <definedName name="solver_tol" localSheetId="11" hidden="1">0.01</definedName>
    <definedName name="solver_typ" localSheetId="11" hidden="1">2</definedName>
    <definedName name="solver_val" localSheetId="11" hidden="1">0.12</definedName>
    <definedName name="solver_ver" localSheetId="11" hidden="1">3</definedName>
  </definedNames>
  <calcPr calcId="162913"/>
</workbook>
</file>

<file path=xl/calcChain.xml><?xml version="1.0" encoding="utf-8"?>
<calcChain xmlns="http://schemas.openxmlformats.org/spreadsheetml/2006/main">
  <c r="G10" i="10" l="1"/>
  <c r="G9" i="10"/>
  <c r="G8" i="10"/>
  <c r="G7" i="10"/>
  <c r="G6" i="10"/>
  <c r="G5" i="10"/>
  <c r="D6" i="11" l="1"/>
  <c r="D7" i="11"/>
  <c r="D8" i="11"/>
  <c r="D9" i="11"/>
  <c r="D10" i="11"/>
  <c r="E13" i="4"/>
  <c r="E14" i="4"/>
  <c r="E15" i="4"/>
  <c r="E16" i="4"/>
  <c r="D16" i="4"/>
  <c r="D15" i="4"/>
  <c r="D14" i="4"/>
  <c r="D13" i="4"/>
  <c r="D12" i="4"/>
  <c r="F9" i="4"/>
  <c r="F5" i="4"/>
  <c r="F6" i="4"/>
  <c r="F7" i="4"/>
  <c r="F8" i="4"/>
  <c r="F4" i="4"/>
  <c r="C29" i="10"/>
  <c r="C28" i="10"/>
  <c r="C27" i="10"/>
  <c r="C26" i="10"/>
  <c r="C25" i="10"/>
  <c r="C24" i="10"/>
  <c r="H6" i="10"/>
  <c r="E12" i="4" s="1"/>
  <c r="H5" i="10"/>
  <c r="H8" i="10"/>
  <c r="C8" i="14" l="1"/>
  <c r="C8" i="11" l="1"/>
  <c r="E8" i="11" s="1"/>
  <c r="E4" i="4"/>
  <c r="E5" i="4"/>
  <c r="E6" i="4"/>
  <c r="E7" i="4"/>
  <c r="E8" i="4"/>
  <c r="E9" i="4"/>
  <c r="C5" i="4"/>
  <c r="C6" i="4"/>
  <c r="C7" i="4"/>
  <c r="C8" i="4"/>
  <c r="C9" i="4"/>
  <c r="F16" i="4"/>
  <c r="F15" i="4"/>
  <c r="F14" i="4"/>
  <c r="D26" i="10"/>
  <c r="F13" i="4" s="1"/>
  <c r="D24" i="10"/>
  <c r="B10" i="11"/>
  <c r="B9" i="11"/>
  <c r="B8" i="11"/>
  <c r="C13" i="4"/>
  <c r="C12" i="4"/>
  <c r="G9" i="4" l="1"/>
  <c r="C15" i="4"/>
  <c r="G13" i="4"/>
  <c r="B7" i="11"/>
  <c r="C14" i="4"/>
  <c r="B6" i="11"/>
  <c r="G15" i="4"/>
  <c r="C16" i="4"/>
  <c r="G16" i="4"/>
  <c r="C10" i="11"/>
  <c r="E10" i="11" s="1"/>
  <c r="G8" i="4"/>
  <c r="G7" i="4"/>
  <c r="G6" i="4"/>
  <c r="C7" i="11"/>
  <c r="E7" i="11" s="1"/>
  <c r="G14" i="4"/>
  <c r="C6" i="11"/>
  <c r="E6" i="11" s="1"/>
  <c r="C9" i="11"/>
  <c r="E9" i="11" s="1"/>
  <c r="D7" i="25"/>
  <c r="D9" i="25" s="1"/>
  <c r="D11" i="25" s="1"/>
  <c r="Y4" i="25"/>
  <c r="AA3" i="25" s="1"/>
  <c r="F22" i="25" s="1"/>
  <c r="V4" i="25"/>
  <c r="X3" i="25" s="1"/>
  <c r="F21" i="25" s="1"/>
  <c r="S4" i="25"/>
  <c r="T3" i="25" s="1"/>
  <c r="P4" i="25"/>
  <c r="P3" i="25" s="1"/>
  <c r="M4" i="25"/>
  <c r="N3" i="25" s="1"/>
  <c r="J4" i="25"/>
  <c r="L3" i="25" s="1"/>
  <c r="F17" i="25" s="1"/>
  <c r="F4" i="25"/>
  <c r="I3" i="25"/>
  <c r="F16" i="25" s="1"/>
  <c r="H3" i="25"/>
  <c r="G3" i="25"/>
  <c r="F3" i="25"/>
  <c r="E3" i="25"/>
  <c r="D3" i="25"/>
  <c r="C3" i="25"/>
  <c r="V3" i="25" l="1"/>
  <c r="W3" i="25"/>
  <c r="Z3" i="25"/>
  <c r="E22" i="25" s="1"/>
  <c r="Q3" i="25"/>
  <c r="E19" i="25" s="1"/>
  <c r="O3" i="25"/>
  <c r="F18" i="25" s="1"/>
  <c r="M3" i="25"/>
  <c r="E18" i="25" s="1"/>
  <c r="K3" i="25"/>
  <c r="E17" i="25" s="1"/>
  <c r="S3" i="25"/>
  <c r="E20" i="25" s="1"/>
  <c r="U3" i="25"/>
  <c r="F20" i="25" s="1"/>
  <c r="R3" i="25"/>
  <c r="R5" i="25" s="1"/>
  <c r="L5" i="25"/>
  <c r="X5" i="25"/>
  <c r="AA5" i="25"/>
  <c r="B6" i="25"/>
  <c r="B11" i="25" s="1"/>
  <c r="B12" i="25" s="1"/>
  <c r="E16" i="25"/>
  <c r="I5" i="25"/>
  <c r="E11" i="4"/>
  <c r="E21" i="25" l="1"/>
  <c r="E23" i="25" s="1"/>
  <c r="O5" i="25"/>
  <c r="B7" i="25"/>
  <c r="B10" i="25" s="1"/>
  <c r="U5" i="25"/>
  <c r="F19" i="25"/>
  <c r="F23" i="25" s="1"/>
  <c r="F24" i="25" s="1"/>
  <c r="G28" i="25" s="1"/>
  <c r="I21" i="10" s="1"/>
  <c r="H14" i="10"/>
  <c r="E24" i="25" l="1"/>
  <c r="G25" i="10"/>
  <c r="B14" i="11"/>
  <c r="B5" i="21" s="1"/>
  <c r="B13" i="11"/>
  <c r="C5" i="11"/>
  <c r="C11" i="4"/>
  <c r="G5" i="4" l="1"/>
  <c r="F12" i="4" l="1"/>
  <c r="G12" i="4" s="1"/>
  <c r="D14" i="22" l="1"/>
  <c r="C6" i="14"/>
  <c r="C4" i="14"/>
  <c r="L11" i="14" l="1"/>
  <c r="O13" i="14"/>
  <c r="N11" i="14"/>
  <c r="O11" i="14"/>
  <c r="N13" i="14"/>
  <c r="M11" i="14"/>
  <c r="M13" i="14"/>
  <c r="L13" i="14"/>
  <c r="O12" i="14" l="1"/>
  <c r="O17" i="13" s="1"/>
  <c r="N12" i="14"/>
  <c r="N17" i="13" s="1"/>
  <c r="L12" i="14"/>
  <c r="L17" i="13" s="1"/>
  <c r="M12" i="14"/>
  <c r="M17" i="13" s="1"/>
  <c r="D8" i="10"/>
  <c r="E14" i="5" l="1"/>
  <c r="D9" i="22" s="1"/>
  <c r="E14" i="11" l="1"/>
  <c r="C5" i="21" s="1"/>
  <c r="E15" i="11"/>
  <c r="C6" i="21" s="1"/>
  <c r="E13" i="11"/>
  <c r="C4" i="21" s="1"/>
  <c r="D5" i="11"/>
  <c r="J18" i="10"/>
  <c r="J19" i="10"/>
  <c r="J20" i="10"/>
  <c r="J21" i="10"/>
  <c r="F20" i="10"/>
  <c r="F21" i="10"/>
  <c r="D11" i="4"/>
  <c r="C4" i="4"/>
  <c r="F19" i="10"/>
  <c r="F18" i="10"/>
  <c r="J17" i="10"/>
  <c r="F17" i="10"/>
  <c r="N9" i="17" l="1"/>
  <c r="G9" i="17"/>
  <c r="K9" i="17"/>
  <c r="D9" i="17"/>
  <c r="H9" i="17"/>
  <c r="L9" i="17"/>
  <c r="E9" i="17"/>
  <c r="I9" i="17"/>
  <c r="M9" i="17"/>
  <c r="F9" i="17"/>
  <c r="J9" i="17"/>
  <c r="C9" i="17"/>
  <c r="F10" i="5"/>
  <c r="D7" i="20" s="1"/>
  <c r="J22" i="10"/>
  <c r="C12" i="11"/>
  <c r="B5" i="11"/>
  <c r="F22" i="10"/>
  <c r="H7" i="7" l="1"/>
  <c r="H8" i="7" s="1"/>
  <c r="F6" i="5" l="1"/>
  <c r="C16" i="14" l="1"/>
  <c r="G4" i="4" l="1"/>
  <c r="C24" i="14" l="1"/>
  <c r="C14" i="14"/>
  <c r="C18" i="14" l="1"/>
  <c r="F11" i="4" l="1"/>
  <c r="G11" i="4" s="1"/>
  <c r="F3" i="5" l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K6" i="7"/>
  <c r="M6" i="7" s="1"/>
  <c r="K5" i="7"/>
  <c r="M5" i="7" s="1"/>
  <c r="K7" i="7" l="1"/>
  <c r="M7" i="7"/>
  <c r="E7" i="17" l="1"/>
  <c r="I7" i="17"/>
  <c r="M7" i="17"/>
  <c r="F7" i="17"/>
  <c r="J7" i="17"/>
  <c r="N7" i="17"/>
  <c r="G7" i="17"/>
  <c r="K7" i="17"/>
  <c r="C7" i="17"/>
  <c r="D7" i="17"/>
  <c r="H7" i="17"/>
  <c r="L7" i="17"/>
  <c r="G10" i="5"/>
  <c r="F8" i="5"/>
  <c r="D5" i="20" s="1"/>
  <c r="M8" i="7"/>
  <c r="H4" i="4" l="1"/>
  <c r="H11" i="4"/>
  <c r="I11" i="4"/>
  <c r="J11" i="4" s="1"/>
  <c r="I4" i="4"/>
  <c r="Q5" i="5" s="1"/>
  <c r="H10" i="5"/>
  <c r="E7" i="20"/>
  <c r="E5" i="11"/>
  <c r="E12" i="11" s="1"/>
  <c r="G8" i="5"/>
  <c r="E5" i="20" s="1"/>
  <c r="D6" i="13"/>
  <c r="F4" i="5"/>
  <c r="F24" i="5" s="1"/>
  <c r="C3" i="21" l="1"/>
  <c r="F13" i="5"/>
  <c r="J18" i="4"/>
  <c r="J19" i="4" s="1"/>
  <c r="J20" i="4" s="1"/>
  <c r="I10" i="5"/>
  <c r="F7" i="20"/>
  <c r="G6" i="5"/>
  <c r="F16" i="5"/>
  <c r="F18" i="5" s="1"/>
  <c r="J4" i="4"/>
  <c r="G4" i="5"/>
  <c r="H8" i="5"/>
  <c r="F5" i="20" s="1"/>
  <c r="E6" i="13"/>
  <c r="H5" i="5"/>
  <c r="L5" i="5"/>
  <c r="P5" i="5"/>
  <c r="I5" i="5"/>
  <c r="M5" i="5"/>
  <c r="F5" i="5"/>
  <c r="J5" i="5"/>
  <c r="N5" i="5"/>
  <c r="G5" i="5"/>
  <c r="K5" i="5"/>
  <c r="O5" i="5"/>
  <c r="H6" i="5" l="1"/>
  <c r="I6" i="5" s="1"/>
  <c r="G24" i="5"/>
  <c r="J21" i="4"/>
  <c r="J10" i="5"/>
  <c r="G7" i="20"/>
  <c r="G13" i="5"/>
  <c r="E5" i="5"/>
  <c r="I9" i="5"/>
  <c r="G6" i="20" s="1"/>
  <c r="G9" i="5"/>
  <c r="E6" i="20" s="1"/>
  <c r="K9" i="5"/>
  <c r="N9" i="5"/>
  <c r="E16" i="11"/>
  <c r="E18" i="11" s="1"/>
  <c r="E20" i="11" s="1"/>
  <c r="J9" i="5"/>
  <c r="H6" i="20" s="1"/>
  <c r="O9" i="5"/>
  <c r="L9" i="5"/>
  <c r="M9" i="5"/>
  <c r="Q9" i="5"/>
  <c r="O6" i="20" s="1"/>
  <c r="H9" i="5"/>
  <c r="F9" i="5"/>
  <c r="D6" i="20" s="1"/>
  <c r="F17" i="5"/>
  <c r="G17" i="5" s="1"/>
  <c r="P9" i="5"/>
  <c r="N6" i="20" s="1"/>
  <c r="H4" i="5"/>
  <c r="F19" i="5"/>
  <c r="I8" i="5"/>
  <c r="G5" i="20" s="1"/>
  <c r="F6" i="13"/>
  <c r="G7" i="5"/>
  <c r="F7" i="5"/>
  <c r="G16" i="5"/>
  <c r="H24" i="5" l="1"/>
  <c r="K10" i="5"/>
  <c r="H7" i="20"/>
  <c r="C9" i="13"/>
  <c r="D4" i="22"/>
  <c r="H12" i="5"/>
  <c r="H15" i="5" s="1"/>
  <c r="F6" i="20"/>
  <c r="O12" i="5"/>
  <c r="O15" i="5" s="1"/>
  <c r="M6" i="20"/>
  <c r="K12" i="5"/>
  <c r="K15" i="5" s="1"/>
  <c r="I6" i="20"/>
  <c r="M12" i="5"/>
  <c r="M15" i="5" s="1"/>
  <c r="K6" i="20"/>
  <c r="L12" i="5"/>
  <c r="L15" i="5" s="1"/>
  <c r="J6" i="20"/>
  <c r="N12" i="5"/>
  <c r="N15" i="5" s="1"/>
  <c r="L6" i="20"/>
  <c r="G20" i="5"/>
  <c r="G21" i="5" s="1"/>
  <c r="F12" i="5"/>
  <c r="F15" i="5" s="1"/>
  <c r="I12" i="5"/>
  <c r="I15" i="5" s="1"/>
  <c r="Q12" i="5"/>
  <c r="Q15" i="5" s="1"/>
  <c r="J12" i="5"/>
  <c r="J15" i="5" s="1"/>
  <c r="G12" i="5"/>
  <c r="G15" i="5" s="1"/>
  <c r="P12" i="5"/>
  <c r="P15" i="5" s="1"/>
  <c r="H13" i="5"/>
  <c r="G11" i="5"/>
  <c r="E8" i="20" s="1"/>
  <c r="F20" i="5"/>
  <c r="F21" i="5" s="1"/>
  <c r="F11" i="5"/>
  <c r="D8" i="20" s="1"/>
  <c r="H11" i="5"/>
  <c r="F8" i="20" s="1"/>
  <c r="E9" i="5"/>
  <c r="C6" i="20" s="1"/>
  <c r="F22" i="5"/>
  <c r="J6" i="5"/>
  <c r="H7" i="5"/>
  <c r="H17" i="5"/>
  <c r="I4" i="5"/>
  <c r="I24" i="5" s="1"/>
  <c r="I11" i="5"/>
  <c r="G8" i="20" s="1"/>
  <c r="J8" i="5"/>
  <c r="H5" i="20" s="1"/>
  <c r="G6" i="13"/>
  <c r="G18" i="5"/>
  <c r="G22" i="5"/>
  <c r="G25" i="5" s="1"/>
  <c r="H16" i="5"/>
  <c r="F25" i="5" l="1"/>
  <c r="F26" i="5" s="1"/>
  <c r="G26" i="5"/>
  <c r="F5" i="13"/>
  <c r="F7" i="13" s="1"/>
  <c r="F10" i="13" s="1"/>
  <c r="F15" i="13" s="1"/>
  <c r="I13" i="5"/>
  <c r="I7" i="20"/>
  <c r="L10" i="5"/>
  <c r="F23" i="5"/>
  <c r="E5" i="13"/>
  <c r="E7" i="13" s="1"/>
  <c r="E10" i="13" s="1"/>
  <c r="E15" i="13" s="1"/>
  <c r="H20" i="5"/>
  <c r="H21" i="5" s="1"/>
  <c r="E12" i="5"/>
  <c r="J4" i="5"/>
  <c r="J24" i="5" s="1"/>
  <c r="I7" i="5"/>
  <c r="K6" i="5"/>
  <c r="I17" i="5"/>
  <c r="J17" i="5" s="1"/>
  <c r="G19" i="5"/>
  <c r="K8" i="5"/>
  <c r="I5" i="20" s="1"/>
  <c r="H6" i="13"/>
  <c r="J11" i="5"/>
  <c r="H8" i="20" s="1"/>
  <c r="I16" i="5"/>
  <c r="H22" i="5"/>
  <c r="H25" i="5" s="1"/>
  <c r="H18" i="5"/>
  <c r="H19" i="5" s="1"/>
  <c r="F12" i="21" l="1"/>
  <c r="E5" i="17"/>
  <c r="E6" i="17" s="1"/>
  <c r="E8" i="17" s="1"/>
  <c r="E11" i="17" s="1"/>
  <c r="H26" i="5"/>
  <c r="G5" i="13"/>
  <c r="G7" i="13" s="1"/>
  <c r="G10" i="13" s="1"/>
  <c r="G15" i="13" s="1"/>
  <c r="J13" i="5"/>
  <c r="J7" i="20"/>
  <c r="M10" i="5"/>
  <c r="D12" i="21"/>
  <c r="D5" i="13"/>
  <c r="D7" i="13" s="1"/>
  <c r="D10" i="13" s="1"/>
  <c r="D15" i="13" s="1"/>
  <c r="D5" i="17"/>
  <c r="D6" i="17" s="1"/>
  <c r="D8" i="17" s="1"/>
  <c r="D11" i="17" s="1"/>
  <c r="E12" i="21"/>
  <c r="C5" i="17"/>
  <c r="C6" i="17" s="1"/>
  <c r="C8" i="17" s="1"/>
  <c r="C11" i="17" s="1"/>
  <c r="H23" i="5"/>
  <c r="K4" i="5"/>
  <c r="K24" i="5" s="1"/>
  <c r="J7" i="5"/>
  <c r="I20" i="5"/>
  <c r="I21" i="5" s="1"/>
  <c r="C10" i="13"/>
  <c r="L6" i="5"/>
  <c r="I22" i="5"/>
  <c r="I25" i="5" s="1"/>
  <c r="G23" i="5"/>
  <c r="L8" i="5"/>
  <c r="J5" i="20" s="1"/>
  <c r="I6" i="13"/>
  <c r="K11" i="5"/>
  <c r="I8" i="20" s="1"/>
  <c r="I18" i="5"/>
  <c r="J16" i="5"/>
  <c r="J22" i="5" s="1"/>
  <c r="J25" i="5" s="1"/>
  <c r="K17" i="5"/>
  <c r="J20" i="5"/>
  <c r="G12" i="21" l="1"/>
  <c r="I26" i="5"/>
  <c r="F5" i="17"/>
  <c r="F6" i="17" s="1"/>
  <c r="F8" i="17" s="1"/>
  <c r="F11" i="17" s="1"/>
  <c r="J26" i="5"/>
  <c r="K13" i="5"/>
  <c r="K7" i="20"/>
  <c r="N10" i="5"/>
  <c r="C15" i="13"/>
  <c r="L4" i="5"/>
  <c r="L24" i="5" s="1"/>
  <c r="K7" i="5"/>
  <c r="M6" i="5"/>
  <c r="J21" i="5"/>
  <c r="I19" i="5"/>
  <c r="M8" i="5"/>
  <c r="K5" i="20" s="1"/>
  <c r="J6" i="13"/>
  <c r="L11" i="5"/>
  <c r="J8" i="20" s="1"/>
  <c r="K16" i="5"/>
  <c r="L16" i="5" s="1"/>
  <c r="J18" i="5"/>
  <c r="J19" i="5" s="1"/>
  <c r="L17" i="5"/>
  <c r="K20" i="5"/>
  <c r="K21" i="5" s="1"/>
  <c r="H5" i="13" l="1"/>
  <c r="H7" i="13" s="1"/>
  <c r="H10" i="13" s="1"/>
  <c r="H15" i="13" s="1"/>
  <c r="G5" i="17"/>
  <c r="G6" i="17" s="1"/>
  <c r="G8" i="17" s="1"/>
  <c r="G11" i="17" s="1"/>
  <c r="H12" i="21"/>
  <c r="L13" i="5"/>
  <c r="L7" i="20"/>
  <c r="O10" i="5"/>
  <c r="C19" i="13"/>
  <c r="C29" i="13" s="1"/>
  <c r="C23" i="13"/>
  <c r="C16" i="13"/>
  <c r="D16" i="13" s="1"/>
  <c r="E16" i="13" s="1"/>
  <c r="F16" i="13" s="1"/>
  <c r="G16" i="13" s="1"/>
  <c r="L7" i="5"/>
  <c r="M4" i="5"/>
  <c r="M24" i="5" s="1"/>
  <c r="N6" i="5"/>
  <c r="J23" i="5"/>
  <c r="I23" i="5"/>
  <c r="N8" i="5"/>
  <c r="L5" i="20" s="1"/>
  <c r="K6" i="13"/>
  <c r="M11" i="5"/>
  <c r="K8" i="20" s="1"/>
  <c r="K22" i="5"/>
  <c r="K25" i="5" s="1"/>
  <c r="K18" i="5"/>
  <c r="K19" i="5" s="1"/>
  <c r="K23" i="5" s="1"/>
  <c r="L22" i="5"/>
  <c r="L25" i="5" s="1"/>
  <c r="M16" i="5"/>
  <c r="L18" i="5"/>
  <c r="L19" i="5" s="1"/>
  <c r="M17" i="5"/>
  <c r="L20" i="5"/>
  <c r="L21" i="5" s="1"/>
  <c r="K26" i="5" l="1"/>
  <c r="H16" i="13"/>
  <c r="L26" i="5"/>
  <c r="H5" i="17"/>
  <c r="H6" i="17" s="1"/>
  <c r="H8" i="17" s="1"/>
  <c r="H11" i="17" s="1"/>
  <c r="I12" i="21"/>
  <c r="I5" i="13"/>
  <c r="I7" i="13" s="1"/>
  <c r="I10" i="13" s="1"/>
  <c r="I15" i="13" s="1"/>
  <c r="N4" i="5"/>
  <c r="N7" i="5" s="1"/>
  <c r="M7" i="20"/>
  <c r="P10" i="5"/>
  <c r="D13" i="14"/>
  <c r="H13" i="14"/>
  <c r="H11" i="14"/>
  <c r="J11" i="14"/>
  <c r="G13" i="14"/>
  <c r="K11" i="14"/>
  <c r="E13" i="14"/>
  <c r="I13" i="14"/>
  <c r="E11" i="14"/>
  <c r="I11" i="14"/>
  <c r="F13" i="14"/>
  <c r="J13" i="14"/>
  <c r="F11" i="14"/>
  <c r="D11" i="14"/>
  <c r="K13" i="14"/>
  <c r="G11" i="14"/>
  <c r="M7" i="5"/>
  <c r="M13" i="5"/>
  <c r="O6" i="5"/>
  <c r="O8" i="5"/>
  <c r="M5" i="20" s="1"/>
  <c r="N11" i="5"/>
  <c r="L8" i="20" s="1"/>
  <c r="L6" i="13"/>
  <c r="L23" i="5"/>
  <c r="M22" i="5"/>
  <c r="M25" i="5" s="1"/>
  <c r="N17" i="5"/>
  <c r="M20" i="5"/>
  <c r="N16" i="5"/>
  <c r="M18" i="5"/>
  <c r="M19" i="5" s="1"/>
  <c r="N13" i="5" l="1"/>
  <c r="J12" i="14"/>
  <c r="J17" i="13" s="1"/>
  <c r="N24" i="5"/>
  <c r="I16" i="13"/>
  <c r="M26" i="5"/>
  <c r="J5" i="13"/>
  <c r="J7" i="13" s="1"/>
  <c r="J10" i="13" s="1"/>
  <c r="J15" i="13" s="1"/>
  <c r="I5" i="17"/>
  <c r="I6" i="17" s="1"/>
  <c r="I8" i="17" s="1"/>
  <c r="I11" i="17" s="1"/>
  <c r="J12" i="21"/>
  <c r="K5" i="17"/>
  <c r="K6" i="17" s="1"/>
  <c r="K8" i="17" s="1"/>
  <c r="K11" i="17" s="1"/>
  <c r="L5" i="13"/>
  <c r="L7" i="13" s="1"/>
  <c r="L10" i="13" s="1"/>
  <c r="L15" i="13" s="1"/>
  <c r="L12" i="21"/>
  <c r="O4" i="5"/>
  <c r="O7" i="5" s="1"/>
  <c r="Q10" i="5"/>
  <c r="N7" i="20"/>
  <c r="K12" i="14"/>
  <c r="K17" i="13" s="1"/>
  <c r="G12" i="14"/>
  <c r="G17" i="13" s="1"/>
  <c r="C13" i="14"/>
  <c r="D12" i="14"/>
  <c r="D17" i="13" s="1"/>
  <c r="I12" i="14"/>
  <c r="I17" i="13" s="1"/>
  <c r="F12" i="14"/>
  <c r="F17" i="13" s="1"/>
  <c r="E12" i="14"/>
  <c r="E17" i="13" s="1"/>
  <c r="C11" i="14"/>
  <c r="H12" i="14"/>
  <c r="H17" i="13" s="1"/>
  <c r="P6" i="5"/>
  <c r="M21" i="5"/>
  <c r="M23" i="5" s="1"/>
  <c r="P8" i="5"/>
  <c r="N5" i="20" s="1"/>
  <c r="O11" i="5"/>
  <c r="M8" i="20" s="1"/>
  <c r="M6" i="13"/>
  <c r="N22" i="5"/>
  <c r="N25" i="5" s="1"/>
  <c r="O17" i="5"/>
  <c r="N20" i="5"/>
  <c r="N21" i="5" s="1"/>
  <c r="O16" i="5"/>
  <c r="N18" i="5"/>
  <c r="N19" i="5" s="1"/>
  <c r="O24" i="5" l="1"/>
  <c r="N26" i="5"/>
  <c r="J16" i="13"/>
  <c r="J5" i="17"/>
  <c r="J6" i="17" s="1"/>
  <c r="J8" i="17" s="1"/>
  <c r="J11" i="17" s="1"/>
  <c r="K12" i="21"/>
  <c r="K5" i="13"/>
  <c r="K7" i="13" s="1"/>
  <c r="K10" i="13" s="1"/>
  <c r="K15" i="13" s="1"/>
  <c r="O13" i="5"/>
  <c r="P4" i="5"/>
  <c r="P7" i="5" s="1"/>
  <c r="E10" i="5"/>
  <c r="C7" i="20" s="1"/>
  <c r="O7" i="20"/>
  <c r="C12" i="14"/>
  <c r="Q6" i="5"/>
  <c r="Q8" i="5"/>
  <c r="N6" i="13"/>
  <c r="P11" i="5"/>
  <c r="O22" i="5"/>
  <c r="O25" i="5" s="1"/>
  <c r="N23" i="5"/>
  <c r="P16" i="5"/>
  <c r="O18" i="5"/>
  <c r="O19" i="5" s="1"/>
  <c r="P17" i="5"/>
  <c r="Q17" i="5" s="1"/>
  <c r="O20" i="5"/>
  <c r="O21" i="5" s="1"/>
  <c r="P24" i="5" l="1"/>
  <c r="E6" i="5"/>
  <c r="K16" i="13"/>
  <c r="L16" i="13" s="1"/>
  <c r="P13" i="5"/>
  <c r="O26" i="5"/>
  <c r="Q4" i="5"/>
  <c r="Q7" i="5" s="1"/>
  <c r="E8" i="5"/>
  <c r="C5" i="20" s="1"/>
  <c r="O5" i="20"/>
  <c r="N8" i="20"/>
  <c r="Q20" i="5"/>
  <c r="Q21" i="5" s="1"/>
  <c r="E17" i="5"/>
  <c r="D22" i="22" s="1"/>
  <c r="Q16" i="5"/>
  <c r="E16" i="5" s="1"/>
  <c r="D21" i="22" s="1"/>
  <c r="Q11" i="5"/>
  <c r="D18" i="22" s="1"/>
  <c r="O6" i="13"/>
  <c r="P20" i="5"/>
  <c r="P21" i="5" s="1"/>
  <c r="P18" i="5"/>
  <c r="P22" i="5"/>
  <c r="P25" i="5" s="1"/>
  <c r="O23" i="5"/>
  <c r="D23" i="22" l="1"/>
  <c r="Q24" i="5"/>
  <c r="P26" i="5"/>
  <c r="M5" i="13"/>
  <c r="L5" i="17"/>
  <c r="L6" i="17" s="1"/>
  <c r="L8" i="17" s="1"/>
  <c r="L11" i="17" s="1"/>
  <c r="M12" i="21"/>
  <c r="Q13" i="5"/>
  <c r="E4" i="5"/>
  <c r="D25" i="22"/>
  <c r="E7" i="5"/>
  <c r="D16" i="22"/>
  <c r="E11" i="5"/>
  <c r="C8" i="20" s="1"/>
  <c r="O8" i="20"/>
  <c r="E20" i="5"/>
  <c r="Q22" i="5"/>
  <c r="Q25" i="5" s="1"/>
  <c r="Q18" i="5"/>
  <c r="P19" i="5"/>
  <c r="E13" i="5" l="1"/>
  <c r="N5" i="13"/>
  <c r="M5" i="17"/>
  <c r="M6" i="17" s="1"/>
  <c r="M8" i="17" s="1"/>
  <c r="M11" i="17" s="1"/>
  <c r="N12" i="21"/>
  <c r="M7" i="13"/>
  <c r="M10" i="13" s="1"/>
  <c r="M15" i="13" s="1"/>
  <c r="E24" i="5"/>
  <c r="E22" i="5"/>
  <c r="Q19" i="5"/>
  <c r="E18" i="5"/>
  <c r="P23" i="5"/>
  <c r="Q26" i="5" l="1"/>
  <c r="O5" i="13"/>
  <c r="N5" i="17"/>
  <c r="N6" i="17" s="1"/>
  <c r="N8" i="17" s="1"/>
  <c r="N11" i="17" s="1"/>
  <c r="O12" i="21"/>
  <c r="C14" i="21" s="1"/>
  <c r="D8" i="22" s="1"/>
  <c r="E15" i="5"/>
  <c r="M16" i="13"/>
  <c r="N7" i="13"/>
  <c r="N10" i="13" s="1"/>
  <c r="N15" i="13" s="1"/>
  <c r="E25" i="5"/>
  <c r="E26" i="5" s="1"/>
  <c r="Q23" i="5"/>
  <c r="E23" i="5" s="1"/>
  <c r="D24" i="22"/>
  <c r="D27" i="22" s="1"/>
  <c r="N16" i="13" l="1"/>
  <c r="O7" i="13"/>
  <c r="O10" i="13" s="1"/>
  <c r="O15" i="13" s="1"/>
  <c r="C12" i="21"/>
  <c r="C13" i="21" s="1"/>
  <c r="D7" i="22"/>
  <c r="D26" i="22"/>
  <c r="C16" i="21" l="1"/>
  <c r="O16" i="13"/>
  <c r="E7" i="10"/>
  <c r="C7" i="21"/>
  <c r="C26" i="13"/>
  <c r="E6" i="10"/>
  <c r="E5" i="10"/>
  <c r="E17" i="11"/>
  <c r="C8" i="21" s="1"/>
  <c r="C3" i="14"/>
  <c r="C5" i="14" s="1"/>
  <c r="E8" i="10" l="1"/>
  <c r="C15" i="21"/>
  <c r="C9" i="14"/>
  <c r="C10" i="14" s="1"/>
  <c r="C12" i="13"/>
  <c r="C25" i="14"/>
  <c r="C11" i="13" s="1"/>
  <c r="C15" i="14"/>
  <c r="E21" i="11"/>
  <c r="C27" i="13" l="1"/>
  <c r="C19" i="14"/>
  <c r="C20" i="14" s="1"/>
  <c r="C14" i="13"/>
  <c r="N21" i="14" l="1"/>
  <c r="N23" i="14"/>
  <c r="O23" i="14"/>
  <c r="O21" i="14"/>
  <c r="I23" i="14"/>
  <c r="L23" i="14"/>
  <c r="I21" i="14"/>
  <c r="H12" i="17" s="1"/>
  <c r="H14" i="17" s="1"/>
  <c r="K21" i="14"/>
  <c r="J12" i="17" s="1"/>
  <c r="J14" i="17" s="1"/>
  <c r="H23" i="14"/>
  <c r="J23" i="14"/>
  <c r="M23" i="14"/>
  <c r="L21" i="14"/>
  <c r="K12" i="17" s="1"/>
  <c r="K14" i="17" s="1"/>
  <c r="K23" i="14"/>
  <c r="J21" i="14"/>
  <c r="I12" i="17" s="1"/>
  <c r="I14" i="17" s="1"/>
  <c r="M21" i="14"/>
  <c r="L12" i="17" s="1"/>
  <c r="L14" i="17" s="1"/>
  <c r="H21" i="14"/>
  <c r="G12" i="17" s="1"/>
  <c r="G14" i="17" s="1"/>
  <c r="D23" i="14"/>
  <c r="F23" i="14"/>
  <c r="G23" i="14"/>
  <c r="E21" i="14"/>
  <c r="D21" i="14"/>
  <c r="G21" i="14"/>
  <c r="E23" i="14"/>
  <c r="F21" i="14"/>
  <c r="C31" i="13"/>
  <c r="C32" i="13" s="1"/>
  <c r="D20" i="22"/>
  <c r="K22" i="14" l="1"/>
  <c r="K18" i="13" s="1"/>
  <c r="K19" i="13" s="1"/>
  <c r="K27" i="13" s="1"/>
  <c r="I22" i="14"/>
  <c r="I18" i="13" s="1"/>
  <c r="I23" i="13" s="1"/>
  <c r="L22" i="14"/>
  <c r="L18" i="13" s="1"/>
  <c r="L23" i="13" s="1"/>
  <c r="N22" i="14"/>
  <c r="L17" i="17"/>
  <c r="L15" i="17"/>
  <c r="M22" i="14"/>
  <c r="M18" i="13" s="1"/>
  <c r="H17" i="17"/>
  <c r="H15" i="17"/>
  <c r="O22" i="14"/>
  <c r="O18" i="13" s="1"/>
  <c r="I17" i="17"/>
  <c r="I15" i="17"/>
  <c r="J22" i="14"/>
  <c r="J18" i="13" s="1"/>
  <c r="H22" i="14"/>
  <c r="H18" i="13" s="1"/>
  <c r="M12" i="17"/>
  <c r="M14" i="17" s="1"/>
  <c r="N18" i="13"/>
  <c r="G17" i="17"/>
  <c r="G15" i="17"/>
  <c r="K15" i="17"/>
  <c r="K17" i="17"/>
  <c r="J17" i="17"/>
  <c r="J15" i="17"/>
  <c r="N12" i="17"/>
  <c r="N14" i="17" s="1"/>
  <c r="E22" i="14"/>
  <c r="E18" i="13" s="1"/>
  <c r="G22" i="14"/>
  <c r="G18" i="13" s="1"/>
  <c r="F12" i="17"/>
  <c r="F14" i="17" s="1"/>
  <c r="F22" i="14"/>
  <c r="F18" i="13" s="1"/>
  <c r="C21" i="14"/>
  <c r="C12" i="17"/>
  <c r="C14" i="17" s="1"/>
  <c r="C23" i="14"/>
  <c r="D22" i="14"/>
  <c r="E12" i="17"/>
  <c r="E14" i="17" s="1"/>
  <c r="D12" i="17"/>
  <c r="D14" i="17" s="1"/>
  <c r="I19" i="13" l="1"/>
  <c r="I27" i="13" s="1"/>
  <c r="K23" i="13"/>
  <c r="L19" i="13"/>
  <c r="L27" i="13" s="1"/>
  <c r="L31" i="13" s="1"/>
  <c r="L32" i="13" s="1"/>
  <c r="M19" i="13"/>
  <c r="M27" i="13" s="1"/>
  <c r="M23" i="13"/>
  <c r="O23" i="13"/>
  <c r="O19" i="13"/>
  <c r="O27" i="13" s="1"/>
  <c r="N19" i="13"/>
  <c r="N27" i="13" s="1"/>
  <c r="N23" i="13"/>
  <c r="H19" i="13"/>
  <c r="H27" i="13" s="1"/>
  <c r="H23" i="13"/>
  <c r="N17" i="17"/>
  <c r="N15" i="17"/>
  <c r="M15" i="17"/>
  <c r="M17" i="17"/>
  <c r="J19" i="13"/>
  <c r="J27" i="13" s="1"/>
  <c r="J23" i="13"/>
  <c r="F23" i="13"/>
  <c r="F19" i="13"/>
  <c r="F27" i="13" s="1"/>
  <c r="C15" i="17"/>
  <c r="C17" i="17"/>
  <c r="G23" i="13"/>
  <c r="G19" i="13"/>
  <c r="G27" i="13" s="1"/>
  <c r="F17" i="17"/>
  <c r="F15" i="17"/>
  <c r="E15" i="17"/>
  <c r="E17" i="17"/>
  <c r="D15" i="17"/>
  <c r="D17" i="17"/>
  <c r="C22" i="14"/>
  <c r="D18" i="13"/>
  <c r="E23" i="13"/>
  <c r="E19" i="13"/>
  <c r="E27" i="13" s="1"/>
  <c r="N31" i="13" l="1"/>
  <c r="N32" i="13" s="1"/>
  <c r="O31" i="13"/>
  <c r="O32" i="13" s="1"/>
  <c r="M31" i="13"/>
  <c r="M32" i="13" s="1"/>
  <c r="J31" i="13"/>
  <c r="J32" i="13" s="1"/>
  <c r="I31" i="13"/>
  <c r="I32" i="13" s="1"/>
  <c r="K31" i="13"/>
  <c r="K32" i="13" s="1"/>
  <c r="D23" i="13"/>
  <c r="C36" i="13" s="1"/>
  <c r="D12" i="22" s="1"/>
  <c r="D19" i="13"/>
  <c r="G31" i="13"/>
  <c r="G32" i="13" s="1"/>
  <c r="H31" i="13"/>
  <c r="H32" i="13" s="1"/>
  <c r="F31" i="13"/>
  <c r="F32" i="13" s="1"/>
  <c r="C25" i="13" l="1"/>
  <c r="C24" i="13"/>
  <c r="D27" i="13"/>
  <c r="D29" i="13"/>
  <c r="E29" i="13" s="1"/>
  <c r="F29" i="13" s="1"/>
  <c r="G29" i="13" s="1"/>
  <c r="H29" i="13" s="1"/>
  <c r="I29" i="13" s="1"/>
  <c r="J29" i="13" s="1"/>
  <c r="K29" i="13" s="1"/>
  <c r="L29" i="13" s="1"/>
  <c r="M29" i="13" s="1"/>
  <c r="N29" i="13" s="1"/>
  <c r="O29" i="13" s="1"/>
  <c r="D31" i="13" l="1"/>
  <c r="D32" i="13" s="1"/>
  <c r="C28" i="13"/>
  <c r="D11" i="22" s="1"/>
  <c r="E31" i="13"/>
  <c r="E32" i="13" s="1"/>
  <c r="D10" i="22"/>
  <c r="C35" i="13" l="1"/>
  <c r="D13" i="22" s="1"/>
</calcChain>
</file>

<file path=xl/comments1.xml><?xml version="1.0" encoding="utf-8"?>
<comments xmlns="http://schemas.openxmlformats.org/spreadsheetml/2006/main">
  <authors>
    <author>User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Ενδεικτικό</t>
        </r>
      </text>
    </comment>
  </commentList>
</comments>
</file>

<file path=xl/comments2.xml><?xml version="1.0" encoding="utf-8"?>
<comments xmlns="http://schemas.openxmlformats.org/spreadsheetml/2006/main">
  <authors>
    <author>TEC SA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αυξομείωση του επιπέδου φωτεινότητας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<sst xmlns="http://schemas.openxmlformats.org/spreadsheetml/2006/main" count="482" uniqueCount="336">
  <si>
    <t>ΣΥΝΟΛΟ</t>
  </si>
  <si>
    <t>€</t>
  </si>
  <si>
    <t>KWh</t>
  </si>
  <si>
    <t>tonnes</t>
  </si>
  <si>
    <t>Τεμάχια</t>
  </si>
  <si>
    <t>Κόστος kWh των ΟΤΑ (€/kWh)</t>
  </si>
  <si>
    <t>Σύνολο</t>
  </si>
  <si>
    <t xml:space="preserve">Κόστος Προσωπικου </t>
  </si>
  <si>
    <t>tCO2</t>
  </si>
  <si>
    <t>Συνολο</t>
  </si>
  <si>
    <t xml:space="preserve">Συνολο </t>
  </si>
  <si>
    <t>ΤΙΜΗ ΜΟΝΑΔΑΣ</t>
  </si>
  <si>
    <t>ΤΕΜΑΧΙΑ</t>
  </si>
  <si>
    <t xml:space="preserve">ΣΥΝΟΛΙΚΟ ΚΟΣΤΟΣ </t>
  </si>
  <si>
    <t xml:space="preserve">Προτεινόμενες  Ώρες Λειτουργίας </t>
  </si>
  <si>
    <t>Ώρες / Μέρα</t>
  </si>
  <si>
    <t>Συνολικές Ώρες</t>
  </si>
  <si>
    <t>Ποσοστό Λειτουργίας Λαμπτήρα</t>
  </si>
  <si>
    <t>CO2 / KWh</t>
  </si>
  <si>
    <t>kgr CO2</t>
  </si>
  <si>
    <t>Έτος λειτουργίας</t>
  </si>
  <si>
    <t>Ταμειακές Ροές (€,000)</t>
  </si>
  <si>
    <t>Αποτέλεσμα Λειτουργίας (ΕBITDA) (3) = (1) - (2)</t>
  </si>
  <si>
    <t>Φόροι (4)</t>
  </si>
  <si>
    <t>Απαιτούμενη επένδυση (5)</t>
  </si>
  <si>
    <t>Καθαρή Ταμειακή Ροή Έργου (6) = (3) – (4) – (5)</t>
  </si>
  <si>
    <t xml:space="preserve"> Ίδια Συμμετοχή (7)</t>
  </si>
  <si>
    <t>Επιχορήγηση (9)</t>
  </si>
  <si>
    <t xml:space="preserve">Τραπεζικός Δανεισμός (10) </t>
  </si>
  <si>
    <t>Καθαρή Ταμειακή Ροή προ εξυπηρέτησης Δανεισμού (11) = (6) + (7) + (8) + (9) + (10)</t>
  </si>
  <si>
    <t xml:space="preserve">Καθαρή Ταμειακή Ροή (14) = (11) - (12) – (13) </t>
  </si>
  <si>
    <t>MIRR</t>
  </si>
  <si>
    <t>IRR Έργου (16) = IRR(6)</t>
  </si>
  <si>
    <t>τιμες για IRR ίδιας συμμετοχής</t>
  </si>
  <si>
    <t>Περίοδος Ανάκτησης Επένδυσης (Payback Period) (18)</t>
  </si>
  <si>
    <t>ROIC (19)</t>
  </si>
  <si>
    <t xml:space="preserve">Περιβαλλοντολογική Εξοικονόμηση </t>
  </si>
  <si>
    <t>Ενέργεια</t>
  </si>
  <si>
    <t xml:space="preserve">tCO2 emissions </t>
  </si>
  <si>
    <t>%</t>
  </si>
  <si>
    <t>ΠΡΟΥΠΟΛΟΓΙΣΜΟΣ  ΕΡΓΟΥ</t>
  </si>
  <si>
    <t>ΑΡΧΙΚΟ ΠΟΣΟ ΔΑΝΕΙΟΥ</t>
  </si>
  <si>
    <t>ΕΤΗ ΕΞΟΦΛΗΣΗΣ</t>
  </si>
  <si>
    <t>ΕΤΗ ΧΑΡΙΤΟΣ</t>
  </si>
  <si>
    <t>ΕΠΙΤΟΚΙΟ</t>
  </si>
  <si>
    <t>ΤΟΚΟΙ ΠΕΡΙΟΔΟΥ ΧΑΡΙΤΟΣ</t>
  </si>
  <si>
    <t>ΠΟΣΟ ΔΑΝΕΙΟΥ ΜΕ ΚΕΦΑΛΑΙΟΠΟΙΗΣΗ ΤΟΚΩΝ</t>
  </si>
  <si>
    <t>TOKOI</t>
  </si>
  <si>
    <t>ΚΕΦΑΛΑΙΟ</t>
  </si>
  <si>
    <t>ΤΟΚΟΧΡΕΩΛΥΣΙΟ</t>
  </si>
  <si>
    <t>Σχήμα Χρηματοδότησης</t>
  </si>
  <si>
    <t>Εμπορικό δάνειο</t>
  </si>
  <si>
    <t>Ίδια συμμετοχή</t>
  </si>
  <si>
    <t>€/kWh</t>
  </si>
  <si>
    <t>Ρυθμοι Εξελιξης</t>
  </si>
  <si>
    <t>Φορολογία</t>
  </si>
  <si>
    <t xml:space="preserve">Επιτόκιο </t>
  </si>
  <si>
    <t>(+ )%</t>
  </si>
  <si>
    <t xml:space="preserve">Πραγματική Κατανάλωση Λαμπτήρα </t>
  </si>
  <si>
    <t xml:space="preserve">ΠΟΣΟ </t>
  </si>
  <si>
    <t xml:space="preserve">ΙΔΙΑ ΣΥΜΜΕΤΟΧΗ </t>
  </si>
  <si>
    <t xml:space="preserve">Λειτουργικα Κοστη (2) </t>
  </si>
  <si>
    <t>Συνολικοί Τόνοι CO2 -  Υφιστάμενη</t>
  </si>
  <si>
    <t>Συνολικοί Τόνοι CO2 -  Προτεινόμενη</t>
  </si>
  <si>
    <t>Μονάδα Μέτρησης</t>
  </si>
  <si>
    <t xml:space="preserve">Σύνολο </t>
  </si>
  <si>
    <t>kWh</t>
  </si>
  <si>
    <t>Συσσωρευμένες Ταμειακές Ροές</t>
  </si>
  <si>
    <t>Συσσωρευμένο EBIDA</t>
  </si>
  <si>
    <t xml:space="preserve">Περίοδος Αποπληρωμής (post financing) </t>
  </si>
  <si>
    <t>Average ROIC</t>
  </si>
  <si>
    <t>Average DSCR</t>
  </si>
  <si>
    <t>Σύστημα Ελέγχου</t>
  </si>
  <si>
    <t>Απρόβλεπτα</t>
  </si>
  <si>
    <t>Πραγματικό Σύνολο</t>
  </si>
  <si>
    <t>n/a</t>
  </si>
  <si>
    <t>Συντελεστης Φορολόγησης (ΦΠΑ)</t>
  </si>
  <si>
    <t xml:space="preserve"> ΤΑΜΕΙΑΚΕΣ ΡΟΕΣ</t>
  </si>
  <si>
    <t>ΤΕΛΙΚΟ ΣΥΝΟΛΟ ΜΕ ΦΠΑ</t>
  </si>
  <si>
    <t>Project IRR</t>
  </si>
  <si>
    <t>Equity IRR</t>
  </si>
  <si>
    <t>#</t>
  </si>
  <si>
    <t>Κύκλος Εργασιών</t>
  </si>
  <si>
    <t>Σύνολο Κύκλου Εργασιών</t>
  </si>
  <si>
    <t>Μείον: Κόστος Πωληθέντων</t>
  </si>
  <si>
    <t>Μικτά Αποτελέσματα</t>
  </si>
  <si>
    <t>Μείον: Λειτουργικά Έξοδα</t>
  </si>
  <si>
    <t>Πλέον: Άλλα Έσοδα Εκμετάλλευσης</t>
  </si>
  <si>
    <t>Λειτουργικό Αποτέλεσμα (EBITDA)</t>
  </si>
  <si>
    <t>Μείον: Χρεωστικοί Τόκοι</t>
  </si>
  <si>
    <t>Πλέον: Πιστωτικοί Τόκοι</t>
  </si>
  <si>
    <t>Αποτελέσματα προ Αποσβέσεων, Φόρων</t>
  </si>
  <si>
    <t>EBTDA % KE</t>
  </si>
  <si>
    <t>Μείον: Αποσβέσεις</t>
  </si>
  <si>
    <t>Αποτελέσματα προ Φόρων</t>
  </si>
  <si>
    <t xml:space="preserve">ΚΑΤΑΣΤΑΣΗ ΑΠΟΤΕΛΕΣΜΑΤΩΝ </t>
  </si>
  <si>
    <t>Σύνολο Λαμπτήρων</t>
  </si>
  <si>
    <t>Έτη Εξόφλησης Εμπορικού Δανείου</t>
  </si>
  <si>
    <t>ΕΤΗΣΙΟ ΕΝΕΡΓΕΙΑΚΟ ΟΦΕΛΟΣ (KWh):</t>
  </si>
  <si>
    <t>ΕΤΗΣΙΟ ΟΙΚΟΝΟΜΙΚΟ ΟΦΕΛΟΣ (€):</t>
  </si>
  <si>
    <t>Λαμπτήρας σε πλήρη λειτουργία</t>
  </si>
  <si>
    <t xml:space="preserve">Πραγματικές ώρες/ημέρα   </t>
  </si>
  <si>
    <t>Παράμετροι Χρηματοδότησης</t>
  </si>
  <si>
    <t>Σταθερές Παράμετροι</t>
  </si>
  <si>
    <r>
      <t>CO</t>
    </r>
    <r>
      <rPr>
        <sz val="8"/>
        <color theme="1"/>
        <rFont val="Calibri"/>
        <family val="2"/>
        <charset val="161"/>
        <scheme val="minor"/>
      </rPr>
      <t>2</t>
    </r>
  </si>
  <si>
    <t>Ισχύς (WATT)</t>
  </si>
  <si>
    <t>Μονάδα</t>
  </si>
  <si>
    <t>Τιμή</t>
  </si>
  <si>
    <t>Εξοικονόμηση</t>
  </si>
  <si>
    <t>Ωράριο</t>
  </si>
  <si>
    <t>Λειτουργία Χειμώνα</t>
  </si>
  <si>
    <t>Λειτουργία Καλοκαίρι</t>
  </si>
  <si>
    <t>Dimming Setting</t>
  </si>
  <si>
    <t>Πλήθος</t>
  </si>
  <si>
    <t>Ισχύς</t>
  </si>
  <si>
    <t>έτη</t>
  </si>
  <si>
    <t>Watt</t>
  </si>
  <si>
    <t xml:space="preserve">Υφιστάμενο Δίκτυο </t>
  </si>
  <si>
    <t>ΣΥΝΟΛΙΚΟ ΕΤΗΣΙΟ ΟΦΕΛΟΣ:</t>
  </si>
  <si>
    <t>Ανεξάρτητος Σύμβουλος</t>
  </si>
  <si>
    <t>ΕΤΗ:</t>
  </si>
  <si>
    <t>Ταμειακές Ροές/ Προυπολογισμός Παραχώρησης</t>
  </si>
  <si>
    <t>Εξοικονόμηση Ενέργειας σε</t>
  </si>
  <si>
    <t>Υπηρεσίες Ενεργειακής Αναβάθμισης</t>
  </si>
  <si>
    <t>Έξοδα Προτεινόμενου Έργου (LED)</t>
  </si>
  <si>
    <t>Κόστος Carbon(CO2)</t>
  </si>
  <si>
    <t>Έσοδα από Παραχώρηση</t>
  </si>
  <si>
    <t>Δάνειο JESSICA (8)</t>
  </si>
  <si>
    <t>Έτη</t>
  </si>
  <si>
    <t>Σύνολα (12ετία)</t>
  </si>
  <si>
    <t>Προυπολογισμός Παροχής Υπηρεσίας από την Εξοικονόμηση Ενέργειας</t>
  </si>
  <si>
    <t>Σύνολο (12ετία)</t>
  </si>
  <si>
    <t xml:space="preserve">Έξοδα Συντήρησης </t>
  </si>
  <si>
    <t>Κόστος Κατανάλωσης Ενέργειας  (NEW)</t>
  </si>
  <si>
    <t>Άλλα Λειτουργικά Έξοδα</t>
  </si>
  <si>
    <t>Συνολικά Κόστη</t>
  </si>
  <si>
    <t>Ανεξάρτητος Σύμβουλος (12ετία)</t>
  </si>
  <si>
    <t>Έσοδα Σύμβασης Παραχώρησης (1)</t>
  </si>
  <si>
    <t xml:space="preserve"> </t>
  </si>
  <si>
    <t>Περίοδος Αποπληρωμής (pre financing)</t>
  </si>
  <si>
    <t>Εξοικονόμηση Δήμου (1)</t>
  </si>
  <si>
    <t>Εξοικονόμηση Εξόδων Συντήρησης
σε Δήμο από Λειτουργικά</t>
  </si>
  <si>
    <t>Εξοικονόμηση Δήμου (2)</t>
  </si>
  <si>
    <t>Εξοικονόμηση Εξόδων Συντήρησης
σε Δήμο από Φόρους &amp; Τέλη</t>
  </si>
  <si>
    <t>Σύνολο Εξοικονόμησης
Δήμου (1+2)</t>
  </si>
  <si>
    <t>Άθροισμα Εξοικονόμησης 
Επένδυσης σε Δήμο</t>
  </si>
  <si>
    <t>ΧΡΗΜΑΤΟΟΙΚΟΝΟΜΙΚΗ ΑΝΑΛΥΣΗ</t>
  </si>
  <si>
    <t xml:space="preserve">Ώρες Λειτουργίας στα Γήπεδα </t>
  </si>
  <si>
    <t>Προυπολογισμός  (12ετία) πλέον ΦΠΑ</t>
  </si>
  <si>
    <t>Μείωση Ρύπων Υφιστάμενη / Προτεινόμενη</t>
  </si>
  <si>
    <t>Μείωση Ρύπων Συνολικά</t>
  </si>
  <si>
    <t>Ενεργειακή Μείωση (ΜΟ 12 Έτη)</t>
  </si>
  <si>
    <t>Κατανάλωση Ενέργειας Προτεινόμενης Κατάστασης</t>
  </si>
  <si>
    <t>Κατανάλωση Ενέργειας Υφιστάμενης Κατάστασης</t>
  </si>
  <si>
    <t>NPV Κόστους Προτεινόμενης Κατάστασης - LED 
(αντικαταστάσεις, λειτουργικά έξοδα, κλπ)</t>
  </si>
  <si>
    <t>NPV Κόστους Υφιστάμενης Κατάστασης 
 (αντικαταστάσεις , λειτουργικά έξοδα, κλπ)</t>
  </si>
  <si>
    <t>Μέσος όρος (ΜΟ), κατ' έτος</t>
  </si>
  <si>
    <t>Χρηματοοικονομικό Μοντέλο για την Ενεργειακή Αναβάθμιση και Αυτοματοποίηση Συστημάτων Ηλεκτροφωτισμού των Κοινοχρήστων Χώρων (Οδοφωτισμός)</t>
  </si>
  <si>
    <t>Δάνειο Πρόγραμμα</t>
  </si>
  <si>
    <t xml:space="preserve">ΣΥΝΟΛΟ </t>
  </si>
  <si>
    <t>ΠΑΓΙΕΣ ΕΤΗΣΙΕΣ ΔΑΠΑΝΕΣ ΣΥΝΤΗΡΗΣΗΣ ΣΥΜΒΑΤΙΚΟΥ ΣΥΣΤΗΜΑΤΟΣ</t>
  </si>
  <si>
    <t>ΠΑΓΙΕΣ ΕΤΗΣΙΕΣ  ΔΑΠΑΝΕΣ ΣΥΝΤΗΡΗΣΗΣ  ΝΕΟΥ ΣΥΣΤΗΜΑΤΟΣ</t>
  </si>
  <si>
    <t>Τύπος Λαμπτήρα / Φωτιστικού</t>
  </si>
  <si>
    <t xml:space="preserve">Τύπος </t>
  </si>
  <si>
    <t>Τιμή Μονάδας</t>
  </si>
  <si>
    <t>Ενδεικτικά Κόστη Προτεινόμενων 
Λαμπήρων / 
Φωτιστικών</t>
  </si>
  <si>
    <t>Κόστος kWh ΟΤΑ</t>
  </si>
  <si>
    <t>Ετήσιος Ρυθμός Αύξησης Εξόδων Συντήρησης</t>
  </si>
  <si>
    <t>Ετήσιος Ρυθμός Λειτουργικών Εξόδων Συντήρησης</t>
  </si>
  <si>
    <t>Ετήσιος Ρυθμός Κατανάλωσης Ενέργειας</t>
  </si>
  <si>
    <t xml:space="preserve">Περιβαλλοντολογικοί Δείκτες </t>
  </si>
  <si>
    <t>Συντελεστής Εκπομπών CO2</t>
  </si>
  <si>
    <t>Πραγματική Κατανάλωση (WATT)</t>
  </si>
  <si>
    <t>Συνολική Κατανάλωση 
/ Ώρα</t>
  </si>
  <si>
    <t>Συνολική Ημερήσια 
Κατανάλωση KW/h</t>
  </si>
  <si>
    <t>Συνολική Ετήσια 
Κατανάλωση KW/h</t>
  </si>
  <si>
    <t>Συνολική Κατανάλωση KW σε 12 έτη</t>
  </si>
  <si>
    <t xml:space="preserve">ΛΑΜΠΤΗΡΕΣ /  ΦΩΤΙΣΤΙΚΑ
LED </t>
  </si>
  <si>
    <t xml:space="preserve">ΕΓΚΑΤΕΣΤΗΜΕΝΟΙ 
ΛΑΜΠΤΗΡΕΣ / ΦΩΤΙΣΤΙΚΑ
 ΠΑΛΑΙΟΥ ΤΥΠΟΥ </t>
  </si>
  <si>
    <t>ΤΕΛΙΚΟ ΣΥΝΟΛΟ  ΧΩΡΙΣ ΦΠΑ</t>
  </si>
  <si>
    <t>Υφιστάμενα Έξοδα Λειτουργίας</t>
  </si>
  <si>
    <t>Κόστος Κατανάλωσης Ενέργειας  (OLD)</t>
  </si>
  <si>
    <t>Ετήσια Εξοικονόμηση 
σε Έξοδα Συντήρησης σε</t>
  </si>
  <si>
    <t xml:space="preserve">Κατανάλωση Ενέργειας - Υφιστάμενη </t>
  </si>
  <si>
    <t xml:space="preserve">Κατανάλωση Ενέργειας - Προτεινόμενου Έργου </t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</si>
  <si>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Υφιστάμενη </t>
    </r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</si>
  <si>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Προτεινόμενου Έργου </t>
    </r>
  </si>
  <si>
    <t>Μέσος Όρος / Έτος:</t>
  </si>
  <si>
    <t>Σύνολο Π/Υ Προμήθειας</t>
  </si>
  <si>
    <t>Σύνολο Π/Υ Προσφοράς</t>
  </si>
  <si>
    <t>Καταβολές ΦΠΑ Κατασκευής</t>
  </si>
  <si>
    <t>Δείκτης Κάλυψης Δανειακών Υποχρεώσεων (DSCR) (15) = (11) / (12+13)</t>
  </si>
  <si>
    <t>Έτος Λειτουργίας</t>
  </si>
  <si>
    <t>Αποπληρωμή Τραπ. Δανεισμού (Τόκοι+Κεφάλαιο) (13)</t>
  </si>
  <si>
    <t xml:space="preserve">Συσσωρευμένες Ταμειακές Ροές πριν από την Εξυπηρέτηση του Δανείου </t>
  </si>
  <si>
    <t xml:space="preserve">Συνολική Δανειακή Επιβάρυνση  </t>
  </si>
  <si>
    <t>Αποπληρωμή Δανείου Πρόγραμμα (Τόκοι+Κεφάλαιο) (12)</t>
  </si>
  <si>
    <t>IRR Ίδιας Συμμετοχής (17) = IRR (Μερίσματα + Τόκοι &amp; Κεφάλαιο Δευτερεύοντος Χρέους - 7)</t>
  </si>
  <si>
    <t>Συγκεντρωτικά Αποτελέσματα</t>
  </si>
  <si>
    <t xml:space="preserve"> ΔΕΙΚΤΕΣ</t>
  </si>
  <si>
    <t>Αντικατάσταση με :</t>
  </si>
  <si>
    <t>Φωτιστικά / 
Λαμπτήρες</t>
  </si>
  <si>
    <t>Έτη Εξόφλησης Επιδοτούμενου Δανείου</t>
  </si>
  <si>
    <t xml:space="preserve">Κόστος Starters - Ντουι </t>
  </si>
  <si>
    <t xml:space="preserve">Κόστος Λαμπτήρων </t>
  </si>
  <si>
    <t xml:space="preserve">Κόστος Αντικ/σης Σώματος </t>
  </si>
  <si>
    <t>Κόστος Προσωπικού</t>
  </si>
  <si>
    <r>
      <t>Τιμή / Τεμ (</t>
    </r>
    <r>
      <rPr>
        <b/>
        <sz val="8"/>
        <color theme="1"/>
        <rFont val="Calibri"/>
        <family val="2"/>
        <charset val="161"/>
      </rPr>
      <t>€)</t>
    </r>
  </si>
  <si>
    <t>Λοιπά Κόστη</t>
  </si>
  <si>
    <t>1 Έτος  (Μήνες / Ημέρες)</t>
  </si>
  <si>
    <t xml:space="preserve">Κόστος Ενέργειας </t>
  </si>
  <si>
    <t>Ετήσιος Ρυθμός Αύξησης Τιμολογίου Γ-4 της ΔΕΗ</t>
  </si>
  <si>
    <t>Μέρες / Εβδομάδα</t>
  </si>
  <si>
    <t>Μέρες /  Έτος</t>
  </si>
  <si>
    <t xml:space="preserve">Αναγώμενες Ώρες
Λειτουργίας  </t>
  </si>
  <si>
    <t>Μέρες / Έτος</t>
  </si>
  <si>
    <t>Σύνολο Λαμπτήρων / 
Φωτιστικών</t>
  </si>
  <si>
    <t>ΕΙΣΑΓΩΓΗ ΔΕΔΟΜΕΝΩΝ</t>
  </si>
  <si>
    <t>ΒΑΣΙΚΕΣ ΠΑΡΑΔΟΧΕΣ ΑΝΑΛΥΣΗΣ</t>
  </si>
  <si>
    <t>ΣΥΝΟΛΙΚΟ ΚΟΣΤΟΣ ΕΠΕΝΔΥΣΗΣ</t>
  </si>
  <si>
    <t>Σύνολο Επένδυσης</t>
  </si>
  <si>
    <t>Έξοδα Έργου (LED)</t>
  </si>
  <si>
    <t>Προυπολογισμός Έργου</t>
  </si>
  <si>
    <t>ΔΑΝΕΙΣΜΟΣ -                                      ΕΤΟΣ</t>
  </si>
  <si>
    <t>ΕΠΙΔΟΤΟΥΜΕΝΟ LOAN</t>
  </si>
  <si>
    <t>ΕΜΠΟΡΙΚΟ LOAN</t>
  </si>
  <si>
    <t>ΠΙΝΑΚΑΣ</t>
  </si>
  <si>
    <t>5+</t>
  </si>
  <si>
    <t xml:space="preserve">Φωτιστικά </t>
  </si>
  <si>
    <t>ΦΠΑ @ 24%</t>
  </si>
  <si>
    <t>Απαιτούμενη Συνολική Επένδυση για το Έτος 0 (το οποίο είναι το άθροισμα της αντικατάστασης μαζί με όποια άλλα κόστη υπάρξουν)</t>
  </si>
  <si>
    <t>Σύστημα Τηλεδιαχείρισης &amp; Ελέγχου</t>
  </si>
  <si>
    <t>Smart Cities (Εγκατάσταση - Εξοπλισμός)</t>
  </si>
  <si>
    <t>ΚΑΤΑΝΑΛΩΣΗ ΕΝΕΡΓΕΙΑΣ ΣΕ KWH &amp; €</t>
  </si>
  <si>
    <t>Σύστημα Τηλεδιαχείρισης &amp; Ελέγχου (Εγκατάσταση - Εξοπλισμός)</t>
  </si>
  <si>
    <t>Υποδομή Πόλης</t>
  </si>
  <si>
    <t>ΤΕΜ</t>
  </si>
  <si>
    <t>Πύλη ICE  + Μετατροπέας  + περίσσεια αποθέματος</t>
  </si>
  <si>
    <t xml:space="preserve">Λαμπτήρες
 LED </t>
  </si>
  <si>
    <t xml:space="preserve">Μετασκευές </t>
  </si>
  <si>
    <t xml:space="preserve">Νέα 
Φωτιστικά </t>
  </si>
  <si>
    <t>Εγκατάσταση</t>
  </si>
  <si>
    <t xml:space="preserve">Άλλα Κόστη </t>
  </si>
  <si>
    <t xml:space="preserve">Υπηρεσία  Έξυπνου Φωτισμού </t>
  </si>
  <si>
    <t>Υπηρεσία Αμφίδρομης Επικοινωνίας</t>
  </si>
  <si>
    <t>Content Push</t>
  </si>
  <si>
    <t xml:space="preserve">Υπηρεσία Ελέγχου Κυκλοφορίας </t>
  </si>
  <si>
    <t xml:space="preserve">Υπηρεσία Έξυπνης Στάθμευσης </t>
  </si>
  <si>
    <t xml:space="preserve">Υπηρεσία Μέτρησης Αντικειμένων </t>
  </si>
  <si>
    <t xml:space="preserve">Δημόσια Ασφάλεια/Υπηρεσία Ασφάλειας </t>
  </si>
  <si>
    <t>Δημόσιο  WiFi</t>
  </si>
  <si>
    <t xml:space="preserve">Αισθητήρες </t>
  </si>
  <si>
    <t xml:space="preserve">Τέλος Εγκατάστασης </t>
  </si>
  <si>
    <t xml:space="preserve">Συνολικές Αμοιβές </t>
  </si>
  <si>
    <t>Κόστος</t>
  </si>
  <si>
    <t>% των φωτιστικών όπου εφαρμόζεται</t>
  </si>
  <si>
    <t>Μηνιαίες 
Πληρωμές</t>
  </si>
  <si>
    <t>Κόστος Φωτισμού - Υλικών</t>
  </si>
  <si>
    <t>Μέση Ετήσια Κατανάλωση (Ευρώ)</t>
  </si>
  <si>
    <t xml:space="preserve">Συνολικό κόστος </t>
  </si>
  <si>
    <t xml:space="preserve">Συνολική Κατανάλωση (Ευρώ) </t>
  </si>
  <si>
    <t>Περίοδος (Έτη Λειτουργίας)</t>
  </si>
  <si>
    <t>Εξοικονόμηση Ενέργειας (%)</t>
  </si>
  <si>
    <t>ICOM Μεικτό Περιθώριο</t>
  </si>
  <si>
    <t>Εξοικονομήσεις Ενέργειας σε Ευρώ</t>
  </si>
  <si>
    <t>ICOM Τιμή Πώλησης  (Πόλη TCO)</t>
  </si>
  <si>
    <t xml:space="preserve">Τρέχων κόστος  συντήρησης </t>
  </si>
  <si>
    <t>Κόστος Πόλης (μόνο Φωτισμός )</t>
  </si>
  <si>
    <t xml:space="preserve">Συνολικός Προϋπολογισμός </t>
  </si>
  <si>
    <t xml:space="preserve">Κόστος Πόλης (ανα φωτιστικό ) </t>
  </si>
  <si>
    <t xml:space="preserve">Κόστη ( ανά φωτιστικό - επένδυση) </t>
  </si>
  <si>
    <t>Πύλη ICE</t>
  </si>
  <si>
    <t>Capex</t>
  </si>
  <si>
    <t>Opex</t>
  </si>
  <si>
    <t xml:space="preserve">Λαμπτήρες LED </t>
  </si>
  <si>
    <t xml:space="preserve">Φωτισμός (εκτός LED λαμπτήρων  + φωτ/κών) </t>
  </si>
  <si>
    <t>Μετασκευή</t>
  </si>
  <si>
    <t xml:space="preserve">Νέα Φωτιστικά </t>
  </si>
  <si>
    <t xml:space="preserve">Μετατροπέας Ρεύματος </t>
  </si>
  <si>
    <t>3%  περίσσεια αποθέματος  ICE +μετατροπέα ρεύματος</t>
  </si>
  <si>
    <t xml:space="preserve">Εγκατάσταση  </t>
  </si>
  <si>
    <t xml:space="preserve">Κόστη ( ανα φωτιστικό μηνιαία) </t>
  </si>
  <si>
    <t>Συνδεσιμότητα  + Hosting (μηνιαία)</t>
  </si>
  <si>
    <t>Υπηρεσία Διαχείρισης Φωτισμού  (μηνιαία )</t>
  </si>
  <si>
    <t>Wifi</t>
  </si>
  <si>
    <t>Ασφαλές Ασύρματο  M2M</t>
  </si>
  <si>
    <t>Ασφάλιση Φωτιστικών από κακόβουλες ενέργειες</t>
  </si>
  <si>
    <t>Εγγύηση/Υποστήριξη (με αντικ/ση του Gway κάθε 5 χρόνια)</t>
  </si>
  <si>
    <t>Προληπτική Συντήρηση  (1 φορά/έτος, μετά τον 1ο χρόνο)</t>
  </si>
  <si>
    <t>ΠΡΟΑΙΡΕΤΙΚΕΣ ΧΡΕΩΣΕΙΣ (συνολικά -εφάπαξ)</t>
  </si>
  <si>
    <t xml:space="preserve">Ρύθμιση Πύλης Αμφίδρομης Πληροφόρησης </t>
  </si>
  <si>
    <t xml:space="preserve">Ρύθμιση Πύλης Ελέγχου Κυκλοφορίας </t>
  </si>
  <si>
    <t xml:space="preserve">Ρύθμιση Πύλης έξυπνης Στάθμευσης  </t>
  </si>
  <si>
    <t xml:space="preserve">Ρύθμιση Πύλης Μέτρησης Αντικειμένων  </t>
  </si>
  <si>
    <t xml:space="preserve">Δημόσια Ασφάλεια/ρύθμιση πύλης ασφαλείας  </t>
  </si>
  <si>
    <t>Ρύθμιση Υπηρεσίας Δημόσιου  Wifi **</t>
  </si>
  <si>
    <t>ΠΡΟΕΡΑΙΤΙΚΕΣ ΧΡΕΩΣΕΙΣ (ανά φωτιστικό -ανά μήνα )</t>
  </si>
  <si>
    <t>Αμφίδρομη πληροφόρηση  (πύλη + upload up  2 /μήνα)</t>
  </si>
  <si>
    <t xml:space="preserve">Έλεγχος Κυκλοφορίας </t>
  </si>
  <si>
    <t>Έξυπνη Στάθμευση</t>
  </si>
  <si>
    <t>Καταμέτρηση Αντικειμένων</t>
  </si>
  <si>
    <t xml:space="preserve">Δημόσια Ασφάλεια / Ασφάλεια </t>
  </si>
  <si>
    <t>ΠΡΟΕΡΑΙΤΙΚΕΣ ΧΡΕΩΣΕΙΣ  (αισθητήρες  - εφάπαξ/φωτιστικό)</t>
  </si>
  <si>
    <t>Ultrasonic</t>
  </si>
  <si>
    <t>Bluetooth</t>
  </si>
  <si>
    <t>ΑΛΛΕΣ ΧΡΕΩΣΕΙΣ  (συνολικά  - εφάπαξ) - έως και  5000 φωτιστικά</t>
  </si>
  <si>
    <t>Έξοδα Μεταφοράς για τον εξοπλισμό *</t>
  </si>
  <si>
    <t xml:space="preserve"> Helpdesk εγκατάστασης &amp; διαμόρφωσης *</t>
  </si>
  <si>
    <t>Διαχείριση Έργου (με ταξίδια)*</t>
  </si>
  <si>
    <t>Εκπαίδευση (για χρήστες του πελάτη)*</t>
  </si>
  <si>
    <t>Μελέτη Φωτισμού*</t>
  </si>
  <si>
    <t>Εγκατάσταση Τηλεφωνικού Κέντρου *</t>
  </si>
  <si>
    <t>Λειτουργία Τηλεφωνικού Κέντρου*</t>
  </si>
  <si>
    <t>ΑΛΛΕΣ ΧΡΕΩΣΕΙΣ( ανα φωτιστικό ή ανα σημείο πρόσβασης  wifi  / μήνα)</t>
  </si>
  <si>
    <t xml:space="preserve">Συνδεσιμότητα SIM  (5GB/μήνα) -φωτισμός </t>
  </si>
  <si>
    <t>Συνδεσιμότητα SIM  (20GB/μήνα ) - wifi</t>
  </si>
  <si>
    <t xml:space="preserve">*ενδεικτικές τιμές , για  roll-out μέχρι  12 μήνες και έως 5.000 φωτιστικά </t>
  </si>
  <si>
    <t>**υποθέτωντας ότι το  wifi backhauling χρησιμοποιεί συνδεσιμότητα  SIM connectivity</t>
  </si>
  <si>
    <t>Λοιπά Κόστη (Smart Cities, κλπ)</t>
  </si>
  <si>
    <t>MARGIN</t>
  </si>
  <si>
    <t>ΑΝΑ ΕΤΟΣ</t>
  </si>
  <si>
    <t>Επιτόκιο Εμπορικού Δανείου</t>
  </si>
  <si>
    <t>Επιτόκιο Δανείου Προγράμματος</t>
  </si>
  <si>
    <t>Φωτιστικά σώματα τύπου σφαίρας ή φανάρι επί χαμηλού ιστού 70W</t>
  </si>
  <si>
    <t>Φωτιστικά σώματα τύπου σφαίρας ή φανάρι επί χαμηλού ιστού 125W</t>
  </si>
  <si>
    <t>Φωτιστικά σώματα τύπου σφαίρας ή φανάρι επί χαμηλού ιστού 250W</t>
  </si>
  <si>
    <t>Φωτιστικά σώματα οδοφωτισμού επί ιστού ΔΕΗ ή ποδηλατόδρομου 125W</t>
  </si>
  <si>
    <t>Φωτιστικά σώματα οδοφωτισμού επί ψήλου ιστού 400W</t>
  </si>
  <si>
    <t>Φωτιστικά σώματα οδοφωτισμού επί ψήλου ιστού 250W</t>
  </si>
  <si>
    <t>Φωτιστικό Δρόμου ≤ 110W</t>
  </si>
  <si>
    <t>Λαμπτήρας LED ≤ 30W</t>
  </si>
  <si>
    <t>Λαμπτήρας LED ≤ 55W</t>
  </si>
  <si>
    <t>Λαμπτήρας LED ≤ 110W</t>
  </si>
  <si>
    <t>Φωτιστικό Δρόμου ≤ 180W</t>
  </si>
  <si>
    <t>ΔΗΜΟΣ ΑΓΙΑΣ ΠΑΡΑΣΚΕΥΗΣ</t>
  </si>
  <si>
    <t>ΣΥΜΒΑΣΗ ΕΝΕΡΓΕΙΑΚΗΣ ΑΠΟΔΟΣΗΣ - ΑΥΤΟΧΡΗΜΑΤΟΔΟΤΗΣΗ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</si>
</sst>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€&quot;_-;\-* #,##0.00\ &quot;€&quot;_-;_-* &quot;-&quot;??\ &quot;€&quot;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 ;\-#,##0\ "/>
    <numFmt numFmtId="167" formatCode="0.0000"/>
    <numFmt numFmtId="168" formatCode="#,##0.0_ ;[Red]\-#,##0.0\ "/>
    <numFmt numFmtId="169" formatCode="#,##0_ ;[Red]\-#,##0\ "/>
    <numFmt numFmtId="170" formatCode="0.0%"/>
    <numFmt numFmtId="171" formatCode="_-* #,##0.00\ [$€-408]_-;\-* #,##0.00\ [$€-408]_-;_-* &quot;-&quot;??\ [$€-408]_-;_-@_-"/>
    <numFmt numFmtId="172" formatCode="_-* #,##0.00\ &quot;€&quot;_-;\-* #,##0.00\ &quot;€&quot;_-;_-* &quot;-&quot;\ &quot;€&quot;_-;_-@_-"/>
    <numFmt numFmtId="173" formatCode="[$-F400]h:mm:ss\ AM/PM"/>
    <numFmt numFmtId="174" formatCode="#,##0.00_ ;[Red]\-#,##0.00\ "/>
    <numFmt numFmtId="175" formatCode="#,##0.00_ ;\-#,##0.00\ "/>
    <numFmt numFmtId="176" formatCode="#,##0.00\ &quot;€&quot;"/>
    <numFmt numFmtId="177" formatCode="#,##0.00000"/>
    <numFmt numFmtId="178" formatCode="0_ ;\-0\ "/>
  </numFmts>
  <fonts count="9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Verdan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color rgb="FF00B05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C0000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sz val="10"/>
      <color theme="0" tint="-0.49998474074526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1"/>
      <color theme="0" tint="-4.9989318521683403E-2"/>
      <name val="Calibri"/>
      <family val="2"/>
      <charset val="161"/>
      <scheme val="minor"/>
    </font>
    <font>
      <b/>
      <i/>
      <sz val="11"/>
      <color theme="0" tint="-4.9989318521683403E-2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b/>
      <i/>
      <sz val="10"/>
      <color rgb="FFFFFFFF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1"/>
      <color theme="0" tint="-0.14999847407452621"/>
      <name val="Calibri"/>
      <family val="2"/>
      <charset val="161"/>
      <scheme val="minor"/>
    </font>
    <font>
      <b/>
      <i/>
      <sz val="12"/>
      <color rgb="FF7030A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b/>
      <i/>
      <sz val="12"/>
      <color theme="6"/>
      <name val="Calibri"/>
      <family val="2"/>
      <charset val="161"/>
      <scheme val="minor"/>
    </font>
    <font>
      <i/>
      <sz val="12"/>
      <color theme="6" tint="-0.249977111117893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8"/>
      <color theme="0"/>
      <name val="Calibri"/>
      <family val="2"/>
      <charset val="161"/>
      <scheme val="minor"/>
    </font>
    <font>
      <b/>
      <sz val="8"/>
      <color rgb="FF00B050"/>
      <name val="Calibri"/>
      <family val="2"/>
      <charset val="161"/>
      <scheme val="minor"/>
    </font>
    <font>
      <b/>
      <sz val="8"/>
      <color theme="6" tint="-0.249977111117893"/>
      <name val="Calibri"/>
      <family val="2"/>
      <charset val="161"/>
      <scheme val="minor"/>
    </font>
    <font>
      <u/>
      <sz val="8"/>
      <color rgb="FF00B05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8"/>
      <color theme="1"/>
      <name val="Verdana"/>
      <family val="2"/>
      <charset val="161"/>
    </font>
    <font>
      <b/>
      <sz val="8"/>
      <color rgb="FFFF0000"/>
      <name val="Verdana"/>
      <family val="2"/>
      <charset val="161"/>
    </font>
    <font>
      <b/>
      <sz val="8"/>
      <color theme="1"/>
      <name val="Calibri"/>
      <family val="2"/>
      <charset val="161"/>
    </font>
    <font>
      <b/>
      <sz val="8"/>
      <color rgb="FFFFFFFF"/>
      <name val="Calibri"/>
      <family val="2"/>
      <charset val="161"/>
      <scheme val="minor"/>
    </font>
    <font>
      <b/>
      <sz val="8"/>
      <color theme="0" tint="-0.499984740745262"/>
      <name val="Calibri"/>
      <family val="2"/>
      <charset val="161"/>
      <scheme val="minor"/>
    </font>
    <font>
      <b/>
      <u/>
      <sz val="8"/>
      <color rgb="FF00B05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b/>
      <sz val="9"/>
      <color rgb="FFFFFFFF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b/>
      <i/>
      <sz val="9"/>
      <color rgb="FFFF0000"/>
      <name val="Calibri"/>
      <family val="2"/>
      <charset val="161"/>
      <scheme val="minor"/>
    </font>
    <font>
      <b/>
      <i/>
      <sz val="9"/>
      <color theme="6" tint="-0.249977111117893"/>
      <name val="Calibri"/>
      <family val="2"/>
      <charset val="161"/>
      <scheme val="minor"/>
    </font>
    <font>
      <i/>
      <sz val="9"/>
      <color theme="6" tint="-0.499984740745262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9"/>
      <color theme="0" tint="-4.9989318521683403E-2"/>
      <name val="Calibri"/>
      <family val="2"/>
      <charset val="161"/>
      <scheme val="minor"/>
    </font>
    <font>
      <b/>
      <i/>
      <sz val="9"/>
      <color theme="0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9"/>
      <color theme="1" tint="0.249977111117893"/>
      <name val="Calibri"/>
      <family val="2"/>
      <charset val="161"/>
      <scheme val="minor"/>
    </font>
    <font>
      <b/>
      <sz val="9"/>
      <color theme="0" tint="-0.499984740745262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i/>
      <sz val="10"/>
      <color theme="0"/>
      <name val="Calibri"/>
      <family val="2"/>
      <charset val="161"/>
      <scheme val="minor"/>
    </font>
    <font>
      <u/>
      <sz val="9"/>
      <color theme="1"/>
      <name val="Calibri"/>
      <family val="2"/>
      <charset val="161"/>
      <scheme val="minor"/>
    </font>
    <font>
      <vertAlign val="subscript"/>
      <sz val="9"/>
      <name val="Calibri"/>
      <family val="2"/>
      <charset val="161"/>
      <scheme val="minor"/>
    </font>
    <font>
      <i/>
      <sz val="9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theme="3"/>
      <name val="Calibri"/>
      <family val="2"/>
      <charset val="161"/>
    </font>
    <font>
      <b/>
      <i/>
      <sz val="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ck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/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rgb="FF7F7F7F"/>
      </right>
      <top style="medium">
        <color rgb="FFFF0000"/>
      </top>
      <bottom style="thin">
        <color rgb="FF7F7F7F"/>
      </bottom>
      <diagonal/>
    </border>
    <border>
      <left style="thin">
        <color rgb="FF7F7F7F"/>
      </left>
      <right style="medium">
        <color rgb="FFFF0000"/>
      </right>
      <top style="medium">
        <color rgb="FFFF0000"/>
      </top>
      <bottom style="thin">
        <color rgb="FF7F7F7F"/>
      </bottom>
      <diagonal/>
    </border>
    <border>
      <left style="medium">
        <color rgb="FFFF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rgb="FF7F7F7F"/>
      </right>
      <top style="thin">
        <color rgb="FF7F7F7F"/>
      </top>
      <bottom style="medium">
        <color rgb="FFFF0000"/>
      </bottom>
      <diagonal/>
    </border>
    <border>
      <left style="thin">
        <color rgb="FF7F7F7F"/>
      </left>
      <right/>
      <top style="thin">
        <color rgb="FF7F7F7F"/>
      </top>
      <bottom style="medium">
        <color rgb="FFFF0000"/>
      </bottom>
      <diagonal/>
    </border>
    <border>
      <left style="thin">
        <color rgb="FF7F7F7F"/>
      </left>
      <right/>
      <top style="medium">
        <color rgb="FFFF0000"/>
      </top>
      <bottom style="thin">
        <color rgb="FF7F7F7F"/>
      </bottom>
      <diagonal/>
    </border>
    <border>
      <left style="thin">
        <color rgb="FF7F7F7F"/>
      </left>
      <right style="medium">
        <color rgb="FFFF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FF0000"/>
      </right>
      <top style="thin">
        <color rgb="FF7F7F7F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7F7F7F"/>
      </bottom>
      <diagonal/>
    </border>
    <border>
      <left/>
      <right style="medium">
        <color rgb="FFFF0000"/>
      </right>
      <top style="medium">
        <color rgb="FFFF0000"/>
      </top>
      <bottom style="thin">
        <color rgb="FF7F7F7F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9" fillId="28" borderId="74" applyNumberFormat="0" applyAlignment="0" applyProtection="0"/>
  </cellStyleXfs>
  <cellXfs count="657">
    <xf numFmtId="0" fontId="0" fillId="0" borderId="0" xfId="0"/>
    <xf numFmtId="0" fontId="29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56" fillId="4" borderId="0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4" fontId="48" fillId="5" borderId="23" xfId="0" applyNumberFormat="1" applyFont="1" applyFill="1" applyBorder="1" applyAlignment="1">
      <alignment horizontal="center" vertical="center"/>
    </xf>
    <xf numFmtId="0" fontId="59" fillId="26" borderId="62" xfId="0" applyFont="1" applyFill="1" applyBorder="1" applyAlignment="1">
      <alignment horizontal="center" vertical="center" wrapText="1"/>
    </xf>
    <xf numFmtId="0" fontId="59" fillId="26" borderId="63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168" fontId="21" fillId="5" borderId="0" xfId="0" applyNumberFormat="1" applyFont="1" applyFill="1" applyBorder="1" applyAlignment="1">
      <alignment horizontal="center" vertical="center"/>
    </xf>
    <xf numFmtId="168" fontId="43" fillId="0" borderId="61" xfId="0" applyNumberFormat="1" applyFont="1" applyFill="1" applyBorder="1" applyAlignment="1">
      <alignment horizontal="center" vertical="center"/>
    </xf>
    <xf numFmtId="0" fontId="27" fillId="6" borderId="53" xfId="0" applyFont="1" applyFill="1" applyBorder="1" applyAlignment="1">
      <alignment horizontal="center" vertical="center"/>
    </xf>
    <xf numFmtId="0" fontId="2" fillId="5" borderId="22" xfId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1" fillId="5" borderId="22" xfId="0" applyFont="1" applyFill="1" applyBorder="1" applyAlignment="1">
      <alignment horizontal="center" vertical="center"/>
    </xf>
    <xf numFmtId="3" fontId="51" fillId="5" borderId="0" xfId="0" applyNumberFormat="1" applyFont="1" applyFill="1" applyBorder="1" applyAlignment="1">
      <alignment horizontal="center" vertical="center"/>
    </xf>
    <xf numFmtId="172" fontId="51" fillId="5" borderId="0" xfId="0" applyNumberFormat="1" applyFont="1" applyFill="1" applyBorder="1" applyAlignment="1">
      <alignment horizontal="center" vertical="center"/>
    </xf>
    <xf numFmtId="172" fontId="51" fillId="5" borderId="23" xfId="0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172" fontId="59" fillId="5" borderId="23" xfId="0" applyNumberFormat="1" applyFont="1" applyFill="1" applyBorder="1" applyAlignment="1">
      <alignment horizontal="center" vertical="center"/>
    </xf>
    <xf numFmtId="0" fontId="59" fillId="5" borderId="22" xfId="0" applyFont="1" applyFill="1" applyBorder="1" applyAlignment="1">
      <alignment horizontal="center" vertical="center"/>
    </xf>
    <xf numFmtId="3" fontId="27" fillId="5" borderId="0" xfId="0" applyNumberFormat="1" applyFont="1" applyFill="1" applyBorder="1" applyAlignment="1">
      <alignment horizontal="center" vertical="center"/>
    </xf>
    <xf numFmtId="172" fontId="27" fillId="5" borderId="0" xfId="0" applyNumberFormat="1" applyFont="1" applyFill="1" applyBorder="1" applyAlignment="1">
      <alignment horizontal="center" vertical="center"/>
    </xf>
    <xf numFmtId="172" fontId="27" fillId="5" borderId="23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3" fontId="27" fillId="4" borderId="0" xfId="0" applyNumberFormat="1" applyFont="1" applyFill="1" applyBorder="1" applyAlignment="1">
      <alignment horizontal="center" vertical="center"/>
    </xf>
    <xf numFmtId="172" fontId="27" fillId="4" borderId="0" xfId="0" applyNumberFormat="1" applyFont="1" applyFill="1" applyBorder="1" applyAlignment="1">
      <alignment horizontal="center" vertical="center"/>
    </xf>
    <xf numFmtId="172" fontId="27" fillId="4" borderId="23" xfId="0" applyNumberFormat="1" applyFont="1" applyFill="1" applyBorder="1" applyAlignment="1">
      <alignment horizontal="center" vertical="center"/>
    </xf>
    <xf numFmtId="0" fontId="52" fillId="5" borderId="22" xfId="0" applyFont="1" applyFill="1" applyBorder="1" applyAlignment="1">
      <alignment horizontal="center" vertical="center"/>
    </xf>
    <xf numFmtId="172" fontId="52" fillId="5" borderId="23" xfId="0" applyNumberFormat="1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/>
    </xf>
    <xf numFmtId="0" fontId="52" fillId="5" borderId="25" xfId="0" applyFont="1" applyFill="1" applyBorder="1" applyAlignment="1">
      <alignment horizontal="center" vertical="center"/>
    </xf>
    <xf numFmtId="172" fontId="52" fillId="5" borderId="25" xfId="0" applyNumberFormat="1" applyFont="1" applyFill="1" applyBorder="1" applyAlignment="1">
      <alignment horizontal="center" vertical="center"/>
    </xf>
    <xf numFmtId="172" fontId="52" fillId="5" borderId="26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5" borderId="19" xfId="1" applyFont="1" applyFill="1" applyBorder="1" applyAlignment="1" applyProtection="1">
      <alignment horizontal="center" vertical="center"/>
    </xf>
    <xf numFmtId="0" fontId="2" fillId="5" borderId="20" xfId="1" applyFill="1" applyBorder="1" applyAlignment="1" applyProtection="1">
      <alignment horizontal="center" vertical="center"/>
    </xf>
    <xf numFmtId="0" fontId="2" fillId="5" borderId="21" xfId="1" applyFill="1" applyBorder="1" applyAlignment="1" applyProtection="1">
      <alignment horizontal="center" vertical="center"/>
    </xf>
    <xf numFmtId="0" fontId="4" fillId="5" borderId="22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3" xfId="1" applyFont="1" applyFill="1" applyBorder="1" applyAlignment="1" applyProtection="1">
      <alignment horizontal="center" vertical="center"/>
    </xf>
    <xf numFmtId="0" fontId="3" fillId="5" borderId="22" xfId="1" applyFont="1" applyFill="1" applyBorder="1" applyAlignment="1" applyProtection="1">
      <alignment horizontal="center" vertical="center"/>
    </xf>
    <xf numFmtId="0" fontId="2" fillId="5" borderId="0" xfId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2" fillId="5" borderId="23" xfId="1" applyFill="1" applyBorder="1" applyAlignment="1" applyProtection="1">
      <alignment horizontal="center" vertical="center"/>
    </xf>
    <xf numFmtId="0" fontId="36" fillId="5" borderId="0" xfId="1" applyFont="1" applyFill="1" applyBorder="1" applyAlignment="1" applyProtection="1">
      <alignment horizontal="center" vertical="center"/>
    </xf>
    <xf numFmtId="0" fontId="37" fillId="5" borderId="0" xfId="1" applyFont="1" applyFill="1" applyBorder="1" applyAlignment="1" applyProtection="1">
      <alignment horizontal="center" vertical="center"/>
    </xf>
    <xf numFmtId="1" fontId="38" fillId="5" borderId="0" xfId="1" applyNumberFormat="1" applyFont="1" applyFill="1" applyBorder="1" applyAlignment="1" applyProtection="1">
      <alignment horizontal="center" vertical="center"/>
      <protection locked="0"/>
    </xf>
    <xf numFmtId="0" fontId="6" fillId="5" borderId="0" xfId="1" applyFont="1" applyFill="1" applyBorder="1" applyAlignment="1" applyProtection="1">
      <alignment horizontal="center" vertical="center"/>
    </xf>
    <xf numFmtId="0" fontId="6" fillId="5" borderId="23" xfId="1" applyFont="1" applyFill="1" applyBorder="1" applyAlignment="1" applyProtection="1">
      <alignment horizontal="center" vertical="center"/>
    </xf>
    <xf numFmtId="0" fontId="44" fillId="5" borderId="22" xfId="1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49" fontId="1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1" applyFont="1" applyFill="1" applyBorder="1" applyAlignment="1" applyProtection="1">
      <alignment horizontal="center" vertical="center" wrapText="1"/>
    </xf>
    <xf numFmtId="0" fontId="3" fillId="5" borderId="23" xfId="1" applyFont="1" applyFill="1" applyBorder="1" applyAlignment="1" applyProtection="1">
      <alignment horizontal="center" vertical="center" wrapText="1"/>
    </xf>
    <xf numFmtId="0" fontId="3" fillId="5" borderId="22" xfId="1" applyFont="1" applyFill="1" applyBorder="1" applyAlignment="1" applyProtection="1">
      <alignment horizontal="center" vertical="center" wrapText="1"/>
    </xf>
    <xf numFmtId="49" fontId="2" fillId="5" borderId="23" xfId="1" applyNumberFormat="1" applyFill="1" applyBorder="1" applyAlignment="1" applyProtection="1">
      <alignment horizontal="center" vertical="center" wrapText="1"/>
      <protection locked="0"/>
    </xf>
    <xf numFmtId="0" fontId="0" fillId="5" borderId="22" xfId="0" applyFill="1" applyBorder="1" applyAlignment="1">
      <alignment horizontal="center" vertical="center"/>
    </xf>
    <xf numFmtId="49" fontId="36" fillId="5" borderId="23" xfId="1" applyNumberFormat="1" applyFont="1" applyFill="1" applyBorder="1" applyAlignment="1" applyProtection="1">
      <alignment horizontal="center" vertical="center" wrapText="1"/>
      <protection locked="0"/>
    </xf>
    <xf numFmtId="0" fontId="41" fillId="5" borderId="22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39" fillId="5" borderId="22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9" fontId="47" fillId="3" borderId="6" xfId="5" applyFont="1" applyFill="1" applyBorder="1" applyAlignment="1">
      <alignment horizontal="center" vertical="center"/>
    </xf>
    <xf numFmtId="171" fontId="10" fillId="12" borderId="8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3" fontId="47" fillId="0" borderId="6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9" fontId="29" fillId="12" borderId="0" xfId="0" applyNumberFormat="1" applyFont="1" applyFill="1" applyBorder="1" applyAlignment="1">
      <alignment horizontal="center" vertical="center"/>
    </xf>
    <xf numFmtId="171" fontId="29" fillId="12" borderId="8" xfId="0" applyNumberFormat="1" applyFont="1" applyFill="1" applyBorder="1" applyAlignment="1">
      <alignment horizontal="center" vertical="center"/>
    </xf>
    <xf numFmtId="9" fontId="10" fillId="5" borderId="0" xfId="0" applyNumberFormat="1" applyFont="1" applyFill="1" applyBorder="1" applyAlignment="1">
      <alignment horizontal="center" vertical="center"/>
    </xf>
    <xf numFmtId="9" fontId="47" fillId="3" borderId="6" xfId="0" applyNumberFormat="1" applyFont="1" applyFill="1" applyBorder="1" applyAlignment="1">
      <alignment horizontal="center" vertical="center"/>
    </xf>
    <xf numFmtId="2" fontId="47" fillId="3" borderId="6" xfId="0" applyNumberFormat="1" applyFont="1" applyFill="1" applyBorder="1" applyAlignment="1">
      <alignment horizontal="center" vertical="center"/>
    </xf>
    <xf numFmtId="0" fontId="84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3" fontId="47" fillId="3" borderId="6" xfId="0" applyNumberFormat="1" applyFont="1" applyFill="1" applyBorder="1" applyAlignment="1">
      <alignment horizontal="center" vertical="center"/>
    </xf>
    <xf numFmtId="171" fontId="47" fillId="3" borderId="6" xfId="0" applyNumberFormat="1" applyFont="1" applyFill="1" applyBorder="1" applyAlignment="1">
      <alignment horizontal="center" vertical="center"/>
    </xf>
    <xf numFmtId="171" fontId="10" fillId="5" borderId="0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7" fillId="3" borderId="6" xfId="0" applyFont="1" applyFill="1" applyBorder="1" applyAlignment="1">
      <alignment horizontal="center" vertical="center"/>
    </xf>
    <xf numFmtId="171" fontId="58" fillId="5" borderId="7" xfId="0" applyNumberFormat="1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5" fillId="7" borderId="15" xfId="0" applyFont="1" applyFill="1" applyBorder="1" applyAlignment="1">
      <alignment horizontal="center" vertical="center"/>
    </xf>
    <xf numFmtId="0" fontId="45" fillId="7" borderId="1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0" fontId="52" fillId="2" borderId="56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51" fillId="5" borderId="7" xfId="0" applyFont="1" applyFill="1" applyBorder="1" applyAlignment="1">
      <alignment horizontal="center" vertical="center"/>
    </xf>
    <xf numFmtId="10" fontId="52" fillId="5" borderId="58" xfId="0" applyNumberFormat="1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center" vertical="center" wrapText="1"/>
    </xf>
    <xf numFmtId="4" fontId="51" fillId="2" borderId="6" xfId="0" applyNumberFormat="1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3" fontId="51" fillId="2" borderId="6" xfId="0" applyNumberFormat="1" applyFont="1" applyFill="1" applyBorder="1" applyAlignment="1">
      <alignment horizontal="center" vertical="center"/>
    </xf>
    <xf numFmtId="9" fontId="51" fillId="2" borderId="6" xfId="0" applyNumberFormat="1" applyFont="1" applyFill="1" applyBorder="1" applyAlignment="1">
      <alignment horizontal="center" vertical="center"/>
    </xf>
    <xf numFmtId="3" fontId="51" fillId="2" borderId="34" xfId="0" applyNumberFormat="1" applyFont="1" applyFill="1" applyBorder="1" applyAlignment="1">
      <alignment horizontal="center" vertical="center"/>
    </xf>
    <xf numFmtId="0" fontId="52" fillId="2" borderId="17" xfId="0" applyFont="1" applyFill="1" applyBorder="1" applyAlignment="1">
      <alignment horizontal="center" vertical="center"/>
    </xf>
    <xf numFmtId="0" fontId="52" fillId="2" borderId="61" xfId="0" applyFont="1" applyFill="1" applyBorder="1" applyAlignment="1">
      <alignment horizontal="center" vertical="center"/>
    </xf>
    <xf numFmtId="4" fontId="61" fillId="2" borderId="6" xfId="0" applyNumberFormat="1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3" fontId="52" fillId="2" borderId="6" xfId="0" applyNumberFormat="1" applyFont="1" applyFill="1" applyBorder="1" applyAlignment="1">
      <alignment horizontal="center" vertical="center"/>
    </xf>
    <xf numFmtId="3" fontId="52" fillId="2" borderId="35" xfId="0" applyNumberFormat="1" applyFont="1" applyFill="1" applyBorder="1" applyAlignment="1">
      <alignment horizontal="center" vertical="center"/>
    </xf>
    <xf numFmtId="10" fontId="52" fillId="5" borderId="61" xfId="0" applyNumberFormat="1" applyFont="1" applyFill="1" applyBorder="1" applyAlignment="1">
      <alignment horizontal="center" vertical="center"/>
    </xf>
    <xf numFmtId="0" fontId="61" fillId="7" borderId="16" xfId="0" applyFont="1" applyFill="1" applyBorder="1" applyAlignment="1">
      <alignment horizontal="center" vertical="center"/>
    </xf>
    <xf numFmtId="4" fontId="62" fillId="7" borderId="7" xfId="0" applyNumberFormat="1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4" fontId="64" fillId="15" borderId="42" xfId="0" applyNumberFormat="1" applyFont="1" applyFill="1" applyBorder="1" applyAlignment="1">
      <alignment horizontal="center" vertical="center"/>
    </xf>
    <xf numFmtId="0" fontId="52" fillId="5" borderId="61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 wrapText="1"/>
    </xf>
    <xf numFmtId="0" fontId="52" fillId="2" borderId="6" xfId="0" applyFont="1" applyFill="1" applyBorder="1" applyAlignment="1">
      <alignment horizontal="center" vertical="center" wrapText="1"/>
    </xf>
    <xf numFmtId="173" fontId="51" fillId="2" borderId="6" xfId="0" applyNumberFormat="1" applyFont="1" applyFill="1" applyBorder="1" applyAlignment="1">
      <alignment horizontal="center" vertical="center" wrapText="1"/>
    </xf>
    <xf numFmtId="2" fontId="51" fillId="2" borderId="6" xfId="0" applyNumberFormat="1" applyFont="1" applyFill="1" applyBorder="1" applyAlignment="1">
      <alignment horizontal="center" vertical="center" wrapText="1"/>
    </xf>
    <xf numFmtId="2" fontId="51" fillId="2" borderId="34" xfId="0" applyNumberFormat="1" applyFont="1" applyFill="1" applyBorder="1" applyAlignment="1">
      <alignment horizontal="center" vertical="center" wrapText="1"/>
    </xf>
    <xf numFmtId="2" fontId="51" fillId="2" borderId="32" xfId="0" applyNumberFormat="1" applyFont="1" applyFill="1" applyBorder="1" applyAlignment="1">
      <alignment horizontal="center" vertical="center" wrapText="1"/>
    </xf>
    <xf numFmtId="173" fontId="51" fillId="2" borderId="4" xfId="0" applyNumberFormat="1" applyFont="1" applyFill="1" applyBorder="1" applyAlignment="1">
      <alignment horizontal="center" vertical="center" wrapText="1"/>
    </xf>
    <xf numFmtId="2" fontId="63" fillId="15" borderId="9" xfId="0" applyNumberFormat="1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 vertical="center" wrapText="1"/>
    </xf>
    <xf numFmtId="2" fontId="51" fillId="2" borderId="35" xfId="0" applyNumberFormat="1" applyFont="1" applyFill="1" applyBorder="1" applyAlignment="1">
      <alignment horizontal="center" vertical="center" wrapText="1"/>
    </xf>
    <xf numFmtId="0" fontId="52" fillId="2" borderId="31" xfId="0" applyFont="1" applyFill="1" applyBorder="1" applyAlignment="1">
      <alignment horizontal="center" vertical="center" wrapText="1"/>
    </xf>
    <xf numFmtId="4" fontId="52" fillId="2" borderId="36" xfId="0" applyNumberFormat="1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 vertical="center"/>
    </xf>
    <xf numFmtId="167" fontId="52" fillId="5" borderId="61" xfId="0" applyNumberFormat="1" applyFont="1" applyFill="1" applyBorder="1" applyAlignment="1">
      <alignment horizontal="center" vertical="center"/>
    </xf>
    <xf numFmtId="0" fontId="51" fillId="5" borderId="64" xfId="0" applyFont="1" applyFill="1" applyBorder="1" applyAlignment="1">
      <alignment horizontal="center" vertical="center"/>
    </xf>
    <xf numFmtId="2" fontId="52" fillId="5" borderId="65" xfId="0" applyNumberFormat="1" applyFont="1" applyFill="1" applyBorder="1" applyAlignment="1">
      <alignment horizontal="center" vertical="center"/>
    </xf>
    <xf numFmtId="0" fontId="51" fillId="5" borderId="25" xfId="0" applyFont="1" applyFill="1" applyBorder="1" applyAlignment="1">
      <alignment horizontal="center" vertical="center"/>
    </xf>
    <xf numFmtId="0" fontId="66" fillId="5" borderId="25" xfId="0" applyFont="1" applyFill="1" applyBorder="1" applyAlignment="1">
      <alignment horizontal="center" vertical="center"/>
    </xf>
    <xf numFmtId="171" fontId="65" fillId="5" borderId="25" xfId="0" applyNumberFormat="1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54" fillId="5" borderId="0" xfId="0" applyFont="1" applyFill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55" fillId="21" borderId="0" xfId="0" applyFont="1" applyFill="1" applyBorder="1" applyAlignment="1">
      <alignment horizontal="center" vertical="center"/>
    </xf>
    <xf numFmtId="4" fontId="67" fillId="5" borderId="23" xfId="0" applyNumberFormat="1" applyFont="1" applyFill="1" applyBorder="1" applyAlignment="1">
      <alignment horizontal="center" vertical="center"/>
    </xf>
    <xf numFmtId="3" fontId="29" fillId="21" borderId="25" xfId="0" applyNumberFormat="1" applyFont="1" applyFill="1" applyBorder="1" applyAlignment="1">
      <alignment horizontal="center" vertical="center"/>
    </xf>
    <xf numFmtId="4" fontId="67" fillId="5" borderId="26" xfId="0" applyNumberFormat="1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50" fillId="4" borderId="67" xfId="0" applyFont="1" applyFill="1" applyBorder="1" applyAlignment="1">
      <alignment horizontal="center" vertical="center"/>
    </xf>
    <xf numFmtId="0" fontId="62" fillId="5" borderId="67" xfId="0" applyFont="1" applyFill="1" applyBorder="1" applyAlignment="1">
      <alignment horizontal="center" vertical="center"/>
    </xf>
    <xf numFmtId="0" fontId="62" fillId="5" borderId="68" xfId="0" applyFont="1" applyFill="1" applyBorder="1" applyAlignment="1">
      <alignment horizontal="center" vertical="center"/>
    </xf>
    <xf numFmtId="0" fontId="51" fillId="2" borderId="62" xfId="0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167" fontId="27" fillId="2" borderId="0" xfId="0" applyNumberFormat="1" applyFont="1" applyFill="1" applyBorder="1" applyAlignment="1">
      <alignment horizontal="center" vertical="center"/>
    </xf>
    <xf numFmtId="167" fontId="27" fillId="2" borderId="61" xfId="0" applyNumberFormat="1" applyFont="1" applyFill="1" applyBorder="1" applyAlignment="1">
      <alignment horizontal="center" vertical="center"/>
    </xf>
    <xf numFmtId="0" fontId="30" fillId="15" borderId="0" xfId="0" applyFont="1" applyFill="1" applyBorder="1" applyAlignment="1">
      <alignment horizontal="center" vertical="center" wrapText="1"/>
    </xf>
    <xf numFmtId="0" fontId="52" fillId="15" borderId="0" xfId="0" applyFont="1" applyFill="1" applyBorder="1" applyAlignment="1">
      <alignment horizontal="center" vertical="center"/>
    </xf>
    <xf numFmtId="4" fontId="52" fillId="15" borderId="0" xfId="0" applyNumberFormat="1" applyFont="1" applyFill="1" applyBorder="1" applyAlignment="1">
      <alignment horizontal="center" vertical="center"/>
    </xf>
    <xf numFmtId="4" fontId="51" fillId="15" borderId="0" xfId="0" applyNumberFormat="1" applyFont="1" applyFill="1" applyBorder="1" applyAlignment="1">
      <alignment horizontal="center" vertical="center"/>
    </xf>
    <xf numFmtId="4" fontId="51" fillId="15" borderId="61" xfId="0" applyNumberFormat="1" applyFont="1" applyFill="1" applyBorder="1" applyAlignment="1">
      <alignment horizontal="center" vertical="center"/>
    </xf>
    <xf numFmtId="4" fontId="52" fillId="18" borderId="0" xfId="0" applyNumberFormat="1" applyFont="1" applyFill="1" applyBorder="1" applyAlignment="1">
      <alignment horizontal="center" vertical="center"/>
    </xf>
    <xf numFmtId="4" fontId="51" fillId="18" borderId="0" xfId="0" applyNumberFormat="1" applyFont="1" applyFill="1" applyBorder="1" applyAlignment="1">
      <alignment horizontal="center" vertical="center"/>
    </xf>
    <xf numFmtId="4" fontId="51" fillId="18" borderId="61" xfId="0" applyNumberFormat="1" applyFont="1" applyFill="1" applyBorder="1" applyAlignment="1">
      <alignment horizontal="center" vertical="center"/>
    </xf>
    <xf numFmtId="4" fontId="79" fillId="15" borderId="0" xfId="0" applyNumberFormat="1" applyFont="1" applyFill="1" applyBorder="1" applyAlignment="1">
      <alignment horizontal="center" vertical="center"/>
    </xf>
    <xf numFmtId="4" fontId="79" fillId="15" borderId="61" xfId="0" applyNumberFormat="1" applyFont="1" applyFill="1" applyBorder="1" applyAlignment="1">
      <alignment horizontal="center" vertical="center"/>
    </xf>
    <xf numFmtId="0" fontId="30" fillId="13" borderId="0" xfId="0" applyFont="1" applyFill="1" applyBorder="1" applyAlignment="1">
      <alignment horizontal="center" vertical="center" wrapText="1"/>
    </xf>
    <xf numFmtId="0" fontId="52" fillId="13" borderId="0" xfId="0" applyFont="1" applyFill="1" applyBorder="1" applyAlignment="1">
      <alignment horizontal="center" vertical="center"/>
    </xf>
    <xf numFmtId="4" fontId="52" fillId="13" borderId="0" xfId="0" applyNumberFormat="1" applyFont="1" applyFill="1" applyBorder="1" applyAlignment="1">
      <alignment horizontal="center" vertical="center"/>
    </xf>
    <xf numFmtId="4" fontId="51" fillId="13" borderId="0" xfId="0" applyNumberFormat="1" applyFont="1" applyFill="1" applyBorder="1" applyAlignment="1">
      <alignment horizontal="center" vertical="center"/>
    </xf>
    <xf numFmtId="4" fontId="51" fillId="13" borderId="61" xfId="0" applyNumberFormat="1" applyFont="1" applyFill="1" applyBorder="1" applyAlignment="1">
      <alignment horizontal="center" vertical="center"/>
    </xf>
    <xf numFmtId="4" fontId="79" fillId="13" borderId="0" xfId="0" applyNumberFormat="1" applyFont="1" applyFill="1" applyBorder="1" applyAlignment="1">
      <alignment horizontal="center" vertical="center"/>
    </xf>
    <xf numFmtId="4" fontId="79" fillId="13" borderId="61" xfId="0" applyNumberFormat="1" applyFont="1" applyFill="1" applyBorder="1" applyAlignment="1">
      <alignment horizontal="center" vertical="center"/>
    </xf>
    <xf numFmtId="0" fontId="70" fillId="10" borderId="0" xfId="0" applyFont="1" applyFill="1" applyBorder="1" applyAlignment="1">
      <alignment horizontal="center" vertical="center" wrapText="1"/>
    </xf>
    <xf numFmtId="0" fontId="52" fillId="10" borderId="0" xfId="0" applyFont="1" applyFill="1" applyBorder="1" applyAlignment="1">
      <alignment horizontal="center" vertical="center"/>
    </xf>
    <xf numFmtId="4" fontId="52" fillId="16" borderId="0" xfId="0" applyNumberFormat="1" applyFont="1" applyFill="1" applyBorder="1" applyAlignment="1">
      <alignment horizontal="center" vertical="center"/>
    </xf>
    <xf numFmtId="4" fontId="27" fillId="16" borderId="0" xfId="0" applyNumberFormat="1" applyFont="1" applyFill="1" applyBorder="1" applyAlignment="1">
      <alignment horizontal="center" vertical="center"/>
    </xf>
    <xf numFmtId="4" fontId="27" fillId="16" borderId="61" xfId="0" applyNumberFormat="1" applyFont="1" applyFill="1" applyBorder="1" applyAlignment="1">
      <alignment horizontal="center" vertical="center"/>
    </xf>
    <xf numFmtId="4" fontId="59" fillId="10" borderId="0" xfId="0" applyNumberFormat="1" applyFont="1" applyFill="1" applyBorder="1" applyAlignment="1">
      <alignment horizontal="center" vertical="center"/>
    </xf>
    <xf numFmtId="4" fontId="27" fillId="10" borderId="0" xfId="0" applyNumberFormat="1" applyFont="1" applyFill="1" applyBorder="1" applyAlignment="1">
      <alignment horizontal="center" vertical="center"/>
    </xf>
    <xf numFmtId="4" fontId="27" fillId="10" borderId="61" xfId="0" applyNumberFormat="1" applyFont="1" applyFill="1" applyBorder="1" applyAlignment="1">
      <alignment horizontal="center" vertical="center"/>
    </xf>
    <xf numFmtId="0" fontId="70" fillId="22" borderId="0" xfId="0" applyFont="1" applyFill="1" applyBorder="1" applyAlignment="1">
      <alignment horizontal="center" vertical="center" wrapText="1"/>
    </xf>
    <xf numFmtId="0" fontId="52" fillId="22" borderId="0" xfId="0" applyFont="1" applyFill="1" applyBorder="1" applyAlignment="1">
      <alignment horizontal="center" vertical="center"/>
    </xf>
    <xf numFmtId="4" fontId="52" fillId="22" borderId="0" xfId="0" applyNumberFormat="1" applyFont="1" applyFill="1" applyBorder="1" applyAlignment="1">
      <alignment horizontal="center" vertical="center"/>
    </xf>
    <xf numFmtId="4" fontId="27" fillId="22" borderId="0" xfId="0" applyNumberFormat="1" applyFont="1" applyFill="1" applyBorder="1" applyAlignment="1">
      <alignment horizontal="center" vertical="center"/>
    </xf>
    <xf numFmtId="4" fontId="27" fillId="22" borderId="61" xfId="0" applyNumberFormat="1" applyFon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4" fontId="52" fillId="23" borderId="0" xfId="0" applyNumberFormat="1" applyFont="1" applyFill="1" applyBorder="1" applyAlignment="1">
      <alignment horizontal="center" vertical="center"/>
    </xf>
    <xf numFmtId="4" fontId="27" fillId="23" borderId="0" xfId="0" applyNumberFormat="1" applyFont="1" applyFill="1" applyBorder="1" applyAlignment="1">
      <alignment horizontal="center" vertical="center"/>
    </xf>
    <xf numFmtId="4" fontId="27" fillId="23" borderId="61" xfId="0" applyNumberFormat="1" applyFont="1" applyFill="1" applyBorder="1" applyAlignment="1">
      <alignment horizontal="center" vertical="center"/>
    </xf>
    <xf numFmtId="0" fontId="51" fillId="17" borderId="0" xfId="0" applyFont="1" applyFill="1" applyBorder="1" applyAlignment="1">
      <alignment horizontal="center" vertical="center" wrapText="1"/>
    </xf>
    <xf numFmtId="0" fontId="51" fillId="17" borderId="0" xfId="0" applyFont="1" applyFill="1" applyBorder="1" applyAlignment="1">
      <alignment horizontal="center" vertical="center"/>
    </xf>
    <xf numFmtId="4" fontId="52" fillId="17" borderId="0" xfId="0" applyNumberFormat="1" applyFont="1" applyFill="1" applyBorder="1" applyAlignment="1">
      <alignment horizontal="center" vertical="center"/>
    </xf>
    <xf numFmtId="4" fontId="51" fillId="17" borderId="0" xfId="0" applyNumberFormat="1" applyFont="1" applyFill="1" applyBorder="1" applyAlignment="1">
      <alignment horizontal="center" vertical="center"/>
    </xf>
    <xf numFmtId="4" fontId="51" fillId="17" borderId="61" xfId="0" applyNumberFormat="1" applyFont="1" applyFill="1" applyBorder="1" applyAlignment="1">
      <alignment horizontal="center" vertical="center"/>
    </xf>
    <xf numFmtId="0" fontId="30" fillId="17" borderId="0" xfId="0" applyFont="1" applyFill="1" applyBorder="1" applyAlignment="1">
      <alignment horizontal="center" vertical="center" wrapText="1"/>
    </xf>
    <xf numFmtId="0" fontId="81" fillId="17" borderId="0" xfId="0" applyFont="1" applyFill="1" applyBorder="1" applyAlignment="1">
      <alignment horizontal="center" vertical="center"/>
    </xf>
    <xf numFmtId="4" fontId="81" fillId="17" borderId="0" xfId="0" applyNumberFormat="1" applyFont="1" applyFill="1" applyBorder="1" applyAlignment="1">
      <alignment horizontal="center" vertical="center"/>
    </xf>
    <xf numFmtId="4" fontId="81" fillId="17" borderId="61" xfId="0" applyNumberFormat="1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horizontal="center" vertical="center" wrapText="1"/>
    </xf>
    <xf numFmtId="0" fontId="51" fillId="10" borderId="0" xfId="0" applyFont="1" applyFill="1" applyBorder="1" applyAlignment="1">
      <alignment horizontal="center" vertical="center"/>
    </xf>
    <xf numFmtId="4" fontId="52" fillId="10" borderId="0" xfId="0" applyNumberFormat="1" applyFont="1" applyFill="1" applyBorder="1" applyAlignment="1">
      <alignment horizontal="center" vertical="center"/>
    </xf>
    <xf numFmtId="4" fontId="51" fillId="10" borderId="0" xfId="0" applyNumberFormat="1" applyFont="1" applyFill="1" applyBorder="1" applyAlignment="1">
      <alignment horizontal="center" vertical="center"/>
    </xf>
    <xf numFmtId="4" fontId="51" fillId="10" borderId="61" xfId="0" applyNumberFormat="1" applyFont="1" applyFill="1" applyBorder="1" applyAlignment="1">
      <alignment horizontal="center" vertical="center"/>
    </xf>
    <xf numFmtId="0" fontId="51" fillId="26" borderId="0" xfId="0" applyFont="1" applyFill="1" applyBorder="1" applyAlignment="1">
      <alignment horizontal="center" vertical="center" wrapText="1"/>
    </xf>
    <xf numFmtId="0" fontId="51" fillId="26" borderId="0" xfId="0" applyFont="1" applyFill="1" applyBorder="1" applyAlignment="1">
      <alignment horizontal="center" vertical="center"/>
    </xf>
    <xf numFmtId="4" fontId="51" fillId="26" borderId="0" xfId="0" applyNumberFormat="1" applyFont="1" applyFill="1" applyBorder="1" applyAlignment="1">
      <alignment horizontal="center" vertical="center"/>
    </xf>
    <xf numFmtId="4" fontId="51" fillId="26" borderId="61" xfId="0" applyNumberFormat="1" applyFont="1" applyFill="1" applyBorder="1" applyAlignment="1">
      <alignment horizontal="center" vertical="center"/>
    </xf>
    <xf numFmtId="0" fontId="51" fillId="26" borderId="64" xfId="0" applyFont="1" applyFill="1" applyBorder="1" applyAlignment="1">
      <alignment horizontal="center" vertical="center" wrapText="1"/>
    </xf>
    <xf numFmtId="0" fontId="51" fillId="26" borderId="64" xfId="0" applyFont="1" applyFill="1" applyBorder="1" applyAlignment="1">
      <alignment horizontal="center" vertical="center"/>
    </xf>
    <xf numFmtId="4" fontId="51" fillId="26" borderId="64" xfId="0" applyNumberFormat="1" applyFont="1" applyFill="1" applyBorder="1" applyAlignment="1">
      <alignment horizontal="center" vertical="center"/>
    </xf>
    <xf numFmtId="4" fontId="51" fillId="26" borderId="65" xfId="0" applyNumberFormat="1" applyFont="1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0" fontId="75" fillId="7" borderId="20" xfId="0" applyFont="1" applyFill="1" applyBorder="1" applyAlignment="1">
      <alignment horizontal="center" vertical="center"/>
    </xf>
    <xf numFmtId="0" fontId="75" fillId="7" borderId="21" xfId="0" applyFont="1" applyFill="1" applyBorder="1" applyAlignment="1">
      <alignment horizontal="center" vertical="center"/>
    </xf>
    <xf numFmtId="0" fontId="75" fillId="2" borderId="0" xfId="0" applyFont="1" applyFill="1" applyAlignment="1">
      <alignment horizontal="center" vertical="center"/>
    </xf>
    <xf numFmtId="0" fontId="75" fillId="2" borderId="22" xfId="0" applyFont="1" applyFill="1" applyBorder="1" applyAlignment="1">
      <alignment horizontal="center" vertical="center"/>
    </xf>
    <xf numFmtId="0" fontId="75" fillId="24" borderId="0" xfId="0" applyFont="1" applyFill="1" applyBorder="1" applyAlignment="1">
      <alignment horizontal="center" vertical="center"/>
    </xf>
    <xf numFmtId="0" fontId="17" fillId="24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76" fillId="2" borderId="22" xfId="0" applyFont="1" applyFill="1" applyBorder="1" applyAlignment="1">
      <alignment horizontal="center" vertical="center"/>
    </xf>
    <xf numFmtId="44" fontId="17" fillId="24" borderId="0" xfId="6" applyFont="1" applyFill="1" applyBorder="1" applyAlignment="1">
      <alignment horizontal="center" vertical="center"/>
    </xf>
    <xf numFmtId="44" fontId="51" fillId="2" borderId="0" xfId="6" applyFont="1" applyFill="1" applyBorder="1" applyAlignment="1">
      <alignment horizontal="center" vertical="center"/>
    </xf>
    <xf numFmtId="44" fontId="51" fillId="2" borderId="23" xfId="6" applyFont="1" applyFill="1" applyBorder="1" applyAlignment="1">
      <alignment horizontal="center" vertical="center"/>
    </xf>
    <xf numFmtId="0" fontId="76" fillId="2" borderId="24" xfId="0" applyFont="1" applyFill="1" applyBorder="1" applyAlignment="1">
      <alignment horizontal="center" vertical="center"/>
    </xf>
    <xf numFmtId="44" fontId="17" fillId="24" borderId="25" xfId="6" applyFont="1" applyFill="1" applyBorder="1" applyAlignment="1">
      <alignment horizontal="center" vertical="center"/>
    </xf>
    <xf numFmtId="44" fontId="52" fillId="2" borderId="25" xfId="6" applyFont="1" applyFill="1" applyBorder="1" applyAlignment="1">
      <alignment horizontal="center" vertical="center"/>
    </xf>
    <xf numFmtId="44" fontId="52" fillId="2" borderId="26" xfId="6" applyFont="1" applyFill="1" applyBorder="1" applyAlignment="1">
      <alignment horizontal="center" vertical="center"/>
    </xf>
    <xf numFmtId="0" fontId="75" fillId="2" borderId="20" xfId="0" applyFont="1" applyFill="1" applyBorder="1" applyAlignment="1">
      <alignment horizontal="center" vertical="center"/>
    </xf>
    <xf numFmtId="0" fontId="75" fillId="2" borderId="2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7" fillId="2" borderId="22" xfId="0" applyFont="1" applyFill="1" applyBorder="1" applyAlignment="1">
      <alignment horizontal="center" vertical="center" wrapText="1"/>
    </xf>
    <xf numFmtId="171" fontId="75" fillId="2" borderId="45" xfId="0" applyNumberFormat="1" applyFont="1" applyFill="1" applyBorder="1" applyAlignment="1">
      <alignment horizontal="center" vertical="center"/>
    </xf>
    <xf numFmtId="0" fontId="75" fillId="2" borderId="0" xfId="0" applyFont="1" applyFill="1" applyBorder="1" applyAlignment="1">
      <alignment horizontal="center" vertical="center"/>
    </xf>
    <xf numFmtId="0" fontId="75" fillId="2" borderId="23" xfId="0" applyFont="1" applyFill="1" applyBorder="1" applyAlignment="1">
      <alignment horizontal="center" vertical="center"/>
    </xf>
    <xf numFmtId="0" fontId="77" fillId="2" borderId="22" xfId="0" applyFont="1" applyFill="1" applyBorder="1" applyAlignment="1">
      <alignment horizontal="center" vertical="center"/>
    </xf>
    <xf numFmtId="0" fontId="76" fillId="24" borderId="22" xfId="0" applyFont="1" applyFill="1" applyBorder="1" applyAlignment="1">
      <alignment horizontal="center" vertical="center"/>
    </xf>
    <xf numFmtId="44" fontId="17" fillId="24" borderId="45" xfId="6" applyFont="1" applyFill="1" applyBorder="1" applyAlignment="1">
      <alignment horizontal="center" vertical="center"/>
    </xf>
    <xf numFmtId="44" fontId="75" fillId="2" borderId="0" xfId="6" applyFont="1" applyFill="1" applyBorder="1" applyAlignment="1">
      <alignment horizontal="center" vertical="center"/>
    </xf>
    <xf numFmtId="44" fontId="75" fillId="2" borderId="23" xfId="6" applyFont="1" applyFill="1" applyBorder="1" applyAlignment="1">
      <alignment horizontal="center" vertical="center"/>
    </xf>
    <xf numFmtId="44" fontId="75" fillId="2" borderId="4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6" fillId="24" borderId="24" xfId="0" applyFont="1" applyFill="1" applyBorder="1" applyAlignment="1">
      <alignment horizontal="center" vertical="center"/>
    </xf>
    <xf numFmtId="44" fontId="17" fillId="24" borderId="46" xfId="6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2" fillId="7" borderId="66" xfId="0" applyFont="1" applyFill="1" applyBorder="1" applyAlignment="1">
      <alignment horizontal="center" vertical="center"/>
    </xf>
    <xf numFmtId="0" fontId="32" fillId="7" borderId="67" xfId="0" applyFont="1" applyFill="1" applyBorder="1" applyAlignment="1">
      <alignment horizontal="center" vertical="center"/>
    </xf>
    <xf numFmtId="0" fontId="33" fillId="7" borderId="67" xfId="0" applyFont="1" applyFill="1" applyBorder="1" applyAlignment="1">
      <alignment horizontal="center" vertical="center"/>
    </xf>
    <xf numFmtId="0" fontId="33" fillId="7" borderId="68" xfId="0" applyFont="1" applyFill="1" applyBorder="1" applyAlignment="1">
      <alignment horizontal="center" vertical="center"/>
    </xf>
    <xf numFmtId="168" fontId="20" fillId="5" borderId="62" xfId="0" applyNumberFormat="1" applyFont="1" applyFill="1" applyBorder="1" applyAlignment="1">
      <alignment horizontal="center" vertical="center" wrapText="1"/>
    </xf>
    <xf numFmtId="166" fontId="14" fillId="5" borderId="0" xfId="0" applyNumberFormat="1" applyFont="1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24" fillId="6" borderId="62" xfId="1" applyFont="1" applyFill="1" applyBorder="1" applyAlignment="1">
      <alignment horizontal="center" vertical="center" wrapText="1"/>
    </xf>
    <xf numFmtId="9" fontId="0" fillId="6" borderId="0" xfId="0" applyNumberFormat="1" applyFill="1" applyBorder="1" applyAlignment="1">
      <alignment horizontal="center" vertical="center"/>
    </xf>
    <xf numFmtId="0" fontId="29" fillId="5" borderId="62" xfId="1" applyFont="1" applyFill="1" applyBorder="1" applyAlignment="1">
      <alignment horizontal="center" vertical="center"/>
    </xf>
    <xf numFmtId="166" fontId="9" fillId="5" borderId="0" xfId="0" applyNumberFormat="1" applyFon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9" fontId="0" fillId="5" borderId="0" xfId="0" applyNumberFormat="1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0" fontId="30" fillId="5" borderId="62" xfId="1" applyFont="1" applyFill="1" applyBorder="1" applyAlignment="1">
      <alignment horizontal="center" vertical="center"/>
    </xf>
    <xf numFmtId="169" fontId="0" fillId="5" borderId="0" xfId="0" applyNumberFormat="1" applyFill="1" applyBorder="1" applyAlignment="1">
      <alignment horizontal="center" vertical="center"/>
    </xf>
    <xf numFmtId="169" fontId="0" fillId="5" borderId="61" xfId="0" applyNumberFormat="1" applyFill="1" applyBorder="1" applyAlignment="1">
      <alignment horizontal="center" vertical="center"/>
    </xf>
    <xf numFmtId="0" fontId="29" fillId="6" borderId="63" xfId="1" applyFont="1" applyFill="1" applyBorder="1" applyAlignment="1">
      <alignment horizontal="center" vertical="center"/>
    </xf>
    <xf numFmtId="166" fontId="9" fillId="6" borderId="64" xfId="0" applyNumberFormat="1" applyFont="1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68" fillId="4" borderId="66" xfId="0" applyFont="1" applyFill="1" applyBorder="1" applyAlignment="1">
      <alignment horizontal="center" vertical="center"/>
    </xf>
    <xf numFmtId="0" fontId="68" fillId="4" borderId="67" xfId="0" applyFont="1" applyFill="1" applyBorder="1" applyAlignment="1">
      <alignment horizontal="center" vertical="center"/>
    </xf>
    <xf numFmtId="168" fontId="69" fillId="4" borderId="67" xfId="0" applyNumberFormat="1" applyFont="1" applyFill="1" applyBorder="1" applyAlignment="1">
      <alignment horizontal="center" vertical="center" wrapText="1"/>
    </xf>
    <xf numFmtId="168" fontId="69" fillId="4" borderId="68" xfId="0" applyNumberFormat="1" applyFont="1" applyFill="1" applyBorder="1" applyAlignment="1">
      <alignment horizontal="center" vertical="center" wrapText="1"/>
    </xf>
    <xf numFmtId="168" fontId="70" fillId="6" borderId="62" xfId="0" applyNumberFormat="1" applyFont="1" applyFill="1" applyBorder="1" applyAlignment="1">
      <alignment horizontal="center" vertical="center" wrapText="1"/>
    </xf>
    <xf numFmtId="169" fontId="70" fillId="6" borderId="0" xfId="0" applyNumberFormat="1" applyFont="1" applyFill="1" applyBorder="1" applyAlignment="1">
      <alignment horizontal="center" vertical="center"/>
    </xf>
    <xf numFmtId="169" fontId="70" fillId="6" borderId="61" xfId="0" applyNumberFormat="1" applyFont="1" applyFill="1" applyBorder="1" applyAlignment="1">
      <alignment horizontal="center" vertical="center"/>
    </xf>
    <xf numFmtId="168" fontId="71" fillId="5" borderId="62" xfId="0" applyNumberFormat="1" applyFont="1" applyFill="1" applyBorder="1" applyAlignment="1">
      <alignment horizontal="center" vertical="center" wrapText="1"/>
    </xf>
    <xf numFmtId="168" fontId="72" fillId="5" borderId="0" xfId="0" applyNumberFormat="1" applyFont="1" applyFill="1" applyBorder="1" applyAlignment="1">
      <alignment horizontal="center" vertical="center"/>
    </xf>
    <xf numFmtId="168" fontId="30" fillId="5" borderId="0" xfId="0" applyNumberFormat="1" applyFont="1" applyFill="1" applyBorder="1" applyAlignment="1">
      <alignment horizontal="center" vertical="center"/>
    </xf>
    <xf numFmtId="168" fontId="30" fillId="5" borderId="61" xfId="0" applyNumberFormat="1" applyFont="1" applyFill="1" applyBorder="1" applyAlignment="1">
      <alignment horizontal="center" vertical="center"/>
    </xf>
    <xf numFmtId="168" fontId="72" fillId="5" borderId="62" xfId="0" applyNumberFormat="1" applyFont="1" applyFill="1" applyBorder="1" applyAlignment="1">
      <alignment horizontal="center" vertical="center" wrapText="1"/>
    </xf>
    <xf numFmtId="174" fontId="72" fillId="5" borderId="0" xfId="0" applyNumberFormat="1" applyFont="1" applyFill="1" applyBorder="1" applyAlignment="1">
      <alignment horizontal="center" vertical="center"/>
    </xf>
    <xf numFmtId="174" fontId="72" fillId="5" borderId="61" xfId="0" applyNumberFormat="1" applyFont="1" applyFill="1" applyBorder="1" applyAlignment="1">
      <alignment horizontal="center" vertical="center"/>
    </xf>
    <xf numFmtId="168" fontId="73" fillId="2" borderId="62" xfId="0" applyNumberFormat="1" applyFont="1" applyFill="1" applyBorder="1" applyAlignment="1">
      <alignment horizontal="center" vertical="center"/>
    </xf>
    <xf numFmtId="174" fontId="71" fillId="2" borderId="0" xfId="0" applyNumberFormat="1" applyFont="1" applyFill="1" applyBorder="1" applyAlignment="1">
      <alignment horizontal="center" vertical="center"/>
    </xf>
    <xf numFmtId="174" fontId="71" fillId="2" borderId="61" xfId="0" applyNumberFormat="1" applyFont="1" applyFill="1" applyBorder="1" applyAlignment="1">
      <alignment horizontal="center" vertical="center"/>
    </xf>
    <xf numFmtId="174" fontId="30" fillId="5" borderId="0" xfId="0" applyNumberFormat="1" applyFont="1" applyFill="1" applyBorder="1" applyAlignment="1">
      <alignment horizontal="center" vertical="center"/>
    </xf>
    <xf numFmtId="174" fontId="30" fillId="5" borderId="61" xfId="0" applyNumberFormat="1" applyFont="1" applyFill="1" applyBorder="1" applyAlignment="1">
      <alignment horizontal="center" vertical="center"/>
    </xf>
    <xf numFmtId="168" fontId="74" fillId="5" borderId="62" xfId="0" applyNumberFormat="1" applyFont="1" applyFill="1" applyBorder="1" applyAlignment="1">
      <alignment horizontal="center" vertical="center" wrapText="1"/>
    </xf>
    <xf numFmtId="174" fontId="74" fillId="5" borderId="0" xfId="5" applyNumberFormat="1" applyFont="1" applyFill="1" applyBorder="1" applyAlignment="1">
      <alignment horizontal="center" vertical="center"/>
    </xf>
    <xf numFmtId="174" fontId="74" fillId="5" borderId="61" xfId="5" applyNumberFormat="1" applyFont="1" applyFill="1" applyBorder="1" applyAlignment="1">
      <alignment horizontal="center" vertical="center"/>
    </xf>
    <xf numFmtId="168" fontId="73" fillId="2" borderId="63" xfId="0" applyNumberFormat="1" applyFont="1" applyFill="1" applyBorder="1" applyAlignment="1">
      <alignment horizontal="center" vertical="center"/>
    </xf>
    <xf numFmtId="174" fontId="71" fillId="2" borderId="64" xfId="0" applyNumberFormat="1" applyFont="1" applyFill="1" applyBorder="1" applyAlignment="1">
      <alignment horizontal="center" vertical="center"/>
    </xf>
    <xf numFmtId="174" fontId="71" fillId="2" borderId="65" xfId="0" applyNumberFormat="1" applyFont="1" applyFill="1" applyBorder="1" applyAlignment="1">
      <alignment horizontal="center" vertical="center"/>
    </xf>
    <xf numFmtId="0" fontId="32" fillId="7" borderId="68" xfId="0" applyFont="1" applyFill="1" applyBorder="1" applyAlignment="1">
      <alignment horizontal="center" vertical="center"/>
    </xf>
    <xf numFmtId="168" fontId="20" fillId="2" borderId="62" xfId="0" applyNumberFormat="1" applyFont="1" applyFill="1" applyBorder="1" applyAlignment="1">
      <alignment horizontal="center" vertical="center" wrapText="1"/>
    </xf>
    <xf numFmtId="169" fontId="35" fillId="2" borderId="0" xfId="0" applyNumberFormat="1" applyFont="1" applyFill="1" applyBorder="1" applyAlignment="1">
      <alignment horizontal="center" vertical="center"/>
    </xf>
    <xf numFmtId="169" fontId="20" fillId="2" borderId="0" xfId="0" applyNumberFormat="1" applyFont="1" applyFill="1" applyBorder="1" applyAlignment="1">
      <alignment horizontal="center" vertical="center"/>
    </xf>
    <xf numFmtId="169" fontId="20" fillId="2" borderId="61" xfId="0" applyNumberFormat="1" applyFont="1" applyFill="1" applyBorder="1" applyAlignment="1">
      <alignment horizontal="center" vertical="center"/>
    </xf>
    <xf numFmtId="168" fontId="25" fillId="8" borderId="62" xfId="0" applyNumberFormat="1" applyFont="1" applyFill="1" applyBorder="1" applyAlignment="1">
      <alignment horizontal="center" vertical="center" wrapText="1"/>
    </xf>
    <xf numFmtId="168" fontId="22" fillId="8" borderId="0" xfId="0" applyNumberFormat="1" applyFont="1" applyFill="1" applyBorder="1" applyAlignment="1">
      <alignment horizontal="center" vertical="center"/>
    </xf>
    <xf numFmtId="168" fontId="0" fillId="8" borderId="0" xfId="0" applyNumberFormat="1" applyFill="1" applyBorder="1" applyAlignment="1">
      <alignment horizontal="center" vertical="center"/>
    </xf>
    <xf numFmtId="168" fontId="0" fillId="8" borderId="61" xfId="0" applyNumberFormat="1" applyFill="1" applyBorder="1" applyAlignment="1">
      <alignment horizontal="center" vertical="center"/>
    </xf>
    <xf numFmtId="168" fontId="26" fillId="9" borderId="62" xfId="0" applyNumberFormat="1" applyFont="1" applyFill="1" applyBorder="1" applyAlignment="1">
      <alignment horizontal="center" vertical="center" wrapText="1"/>
    </xf>
    <xf numFmtId="168" fontId="22" fillId="9" borderId="0" xfId="0" applyNumberFormat="1" applyFont="1" applyFill="1" applyBorder="1" applyAlignment="1">
      <alignment horizontal="center" vertical="center"/>
    </xf>
    <xf numFmtId="169" fontId="22" fillId="9" borderId="0" xfId="0" applyNumberFormat="1" applyFont="1" applyFill="1" applyBorder="1" applyAlignment="1">
      <alignment horizontal="center" vertical="center"/>
    </xf>
    <xf numFmtId="169" fontId="22" fillId="9" borderId="61" xfId="0" applyNumberFormat="1" applyFont="1" applyFill="1" applyBorder="1" applyAlignment="1">
      <alignment horizontal="center" vertical="center"/>
    </xf>
    <xf numFmtId="168" fontId="25" fillId="2" borderId="62" xfId="0" applyNumberFormat="1" applyFont="1" applyFill="1" applyBorder="1" applyAlignment="1">
      <alignment horizontal="center" vertical="center" wrapText="1"/>
    </xf>
    <xf numFmtId="168" fontId="21" fillId="2" borderId="0" xfId="0" applyNumberFormat="1" applyFont="1" applyFill="1" applyBorder="1" applyAlignment="1">
      <alignment horizontal="center" vertical="center"/>
    </xf>
    <xf numFmtId="169" fontId="21" fillId="2" borderId="0" xfId="0" applyNumberFormat="1" applyFont="1" applyFill="1" applyBorder="1" applyAlignment="1">
      <alignment horizontal="center" vertical="center"/>
    </xf>
    <xf numFmtId="169" fontId="21" fillId="2" borderId="61" xfId="0" applyNumberFormat="1" applyFont="1" applyFill="1" applyBorder="1" applyAlignment="1">
      <alignment horizontal="center" vertical="center"/>
    </xf>
    <xf numFmtId="168" fontId="26" fillId="8" borderId="62" xfId="0" applyNumberFormat="1" applyFont="1" applyFill="1" applyBorder="1" applyAlignment="1">
      <alignment horizontal="center" vertical="center" wrapText="1"/>
    </xf>
    <xf numFmtId="168" fontId="21" fillId="8" borderId="0" xfId="0" applyNumberFormat="1" applyFont="1" applyFill="1" applyBorder="1" applyAlignment="1">
      <alignment horizontal="center" vertical="center"/>
    </xf>
    <xf numFmtId="168" fontId="21" fillId="0" borderId="61" xfId="0" applyNumberFormat="1" applyFont="1" applyFill="1" applyBorder="1" applyAlignment="1">
      <alignment horizontal="center" vertical="center"/>
    </xf>
    <xf numFmtId="169" fontId="22" fillId="8" borderId="0" xfId="0" applyNumberFormat="1" applyFont="1" applyFill="1" applyBorder="1" applyAlignment="1">
      <alignment horizontal="center" vertical="center"/>
    </xf>
    <xf numFmtId="168" fontId="21" fillId="8" borderId="61" xfId="0" applyNumberFormat="1" applyFont="1" applyFill="1" applyBorder="1" applyAlignment="1">
      <alignment horizontal="center" vertical="center"/>
    </xf>
    <xf numFmtId="168" fontId="22" fillId="4" borderId="0" xfId="0" applyNumberFormat="1" applyFont="1" applyFill="1" applyBorder="1" applyAlignment="1">
      <alignment horizontal="center" vertical="center"/>
    </xf>
    <xf numFmtId="168" fontId="22" fillId="4" borderId="61" xfId="0" applyNumberFormat="1" applyFont="1" applyFill="1" applyBorder="1" applyAlignment="1">
      <alignment horizontal="center" vertical="center"/>
    </xf>
    <xf numFmtId="169" fontId="22" fillId="8" borderId="61" xfId="0" applyNumberFormat="1" applyFont="1" applyFill="1" applyBorder="1" applyAlignment="1">
      <alignment horizontal="center" vertical="center"/>
    </xf>
    <xf numFmtId="168" fontId="25" fillId="2" borderId="63" xfId="0" applyNumberFormat="1" applyFont="1" applyFill="1" applyBorder="1" applyAlignment="1">
      <alignment horizontal="center" vertical="center" wrapText="1"/>
    </xf>
    <xf numFmtId="169" fontId="24" fillId="6" borderId="64" xfId="0" applyNumberFormat="1" applyFont="1" applyFill="1" applyBorder="1" applyAlignment="1">
      <alignment horizontal="center" vertical="center"/>
    </xf>
    <xf numFmtId="169" fontId="24" fillId="6" borderId="65" xfId="0" applyNumberFormat="1" applyFont="1" applyFill="1" applyBorder="1" applyAlignment="1">
      <alignment horizontal="center" vertical="center"/>
    </xf>
    <xf numFmtId="168" fontId="23" fillId="5" borderId="0" xfId="0" applyNumberFormat="1" applyFont="1" applyFill="1" applyBorder="1" applyAlignment="1">
      <alignment horizontal="center" vertical="center"/>
    </xf>
    <xf numFmtId="168" fontId="24" fillId="5" borderId="0" xfId="0" applyNumberFormat="1" applyFont="1" applyFill="1" applyBorder="1" applyAlignment="1">
      <alignment horizontal="center" vertical="center"/>
    </xf>
    <xf numFmtId="168" fontId="25" fillId="5" borderId="0" xfId="0" applyNumberFormat="1" applyFont="1" applyFill="1" applyBorder="1" applyAlignment="1">
      <alignment horizontal="center" vertical="center"/>
    </xf>
    <xf numFmtId="168" fontId="24" fillId="5" borderId="14" xfId="0" applyNumberFormat="1" applyFont="1" applyFill="1" applyBorder="1" applyAlignment="1">
      <alignment horizontal="center" vertical="center"/>
    </xf>
    <xf numFmtId="0" fontId="32" fillId="4" borderId="66" xfId="0" applyFont="1" applyFill="1" applyBorder="1" applyAlignment="1">
      <alignment horizontal="center" vertical="center"/>
    </xf>
    <xf numFmtId="0" fontId="32" fillId="4" borderId="67" xfId="0" applyFont="1" applyFill="1" applyBorder="1" applyAlignment="1">
      <alignment horizontal="center" vertical="center"/>
    </xf>
    <xf numFmtId="0" fontId="32" fillId="4" borderId="68" xfId="0" applyFont="1" applyFill="1" applyBorder="1" applyAlignment="1">
      <alignment horizontal="center" vertical="center"/>
    </xf>
    <xf numFmtId="168" fontId="22" fillId="2" borderId="0" xfId="0" applyNumberFormat="1" applyFont="1" applyFill="1" applyBorder="1" applyAlignment="1">
      <alignment horizontal="center" vertical="center"/>
    </xf>
    <xf numFmtId="168" fontId="21" fillId="5" borderId="61" xfId="0" applyNumberFormat="1" applyFont="1" applyFill="1" applyBorder="1" applyAlignment="1">
      <alignment horizontal="center" vertical="center"/>
    </xf>
    <xf numFmtId="170" fontId="21" fillId="5" borderId="0" xfId="0" applyNumberFormat="1" applyFont="1" applyFill="1" applyBorder="1" applyAlignment="1">
      <alignment horizontal="center" vertical="center"/>
    </xf>
    <xf numFmtId="170" fontId="24" fillId="4" borderId="0" xfId="5" applyNumberFormat="1" applyFont="1" applyFill="1" applyBorder="1" applyAlignment="1">
      <alignment horizontal="center" vertical="center"/>
    </xf>
    <xf numFmtId="10" fontId="22" fillId="7" borderId="0" xfId="0" applyNumberFormat="1" applyFont="1" applyFill="1" applyBorder="1" applyAlignment="1">
      <alignment horizontal="center" vertical="center"/>
    </xf>
    <xf numFmtId="168" fontId="22" fillId="7" borderId="0" xfId="0" applyNumberFormat="1" applyFont="1" applyFill="1" applyBorder="1" applyAlignment="1">
      <alignment horizontal="center" vertical="center"/>
    </xf>
    <xf numFmtId="168" fontId="22" fillId="7" borderId="61" xfId="0" applyNumberFormat="1" applyFont="1" applyFill="1" applyBorder="1" applyAlignment="1">
      <alignment horizontal="center" vertical="center"/>
    </xf>
    <xf numFmtId="169" fontId="22" fillId="3" borderId="0" xfId="0" applyNumberFormat="1" applyFont="1" applyFill="1" applyBorder="1" applyAlignment="1">
      <alignment horizontal="center" vertical="center"/>
    </xf>
    <xf numFmtId="169" fontId="22" fillId="7" borderId="0" xfId="0" applyNumberFormat="1" applyFont="1" applyFill="1" applyBorder="1" applyAlignment="1">
      <alignment horizontal="center" vertical="center"/>
    </xf>
    <xf numFmtId="169" fontId="22" fillId="7" borderId="61" xfId="0" applyNumberFormat="1" applyFont="1" applyFill="1" applyBorder="1" applyAlignment="1">
      <alignment horizontal="center" vertical="center"/>
    </xf>
    <xf numFmtId="9" fontId="24" fillId="4" borderId="0" xfId="5" applyNumberFormat="1" applyFont="1" applyFill="1" applyBorder="1" applyAlignment="1">
      <alignment horizontal="center" vertical="center"/>
    </xf>
    <xf numFmtId="10" fontId="22" fillId="4" borderId="0" xfId="0" applyNumberFormat="1" applyFont="1" applyFill="1" applyBorder="1" applyAlignment="1">
      <alignment horizontal="center" vertical="center"/>
    </xf>
    <xf numFmtId="169" fontId="25" fillId="5" borderId="0" xfId="0" applyNumberFormat="1" applyFont="1" applyFill="1" applyBorder="1" applyAlignment="1">
      <alignment horizontal="center" vertical="center"/>
    </xf>
    <xf numFmtId="169" fontId="25" fillId="5" borderId="61" xfId="0" applyNumberFormat="1" applyFont="1" applyFill="1" applyBorder="1" applyAlignment="1">
      <alignment horizontal="center" vertical="center"/>
    </xf>
    <xf numFmtId="168" fontId="34" fillId="4" borderId="0" xfId="0" applyNumberFormat="1" applyFont="1" applyFill="1" applyBorder="1" applyAlignment="1">
      <alignment horizontal="center" vertical="center"/>
    </xf>
    <xf numFmtId="168" fontId="26" fillId="4" borderId="0" xfId="0" applyNumberFormat="1" applyFont="1" applyFill="1" applyBorder="1" applyAlignment="1">
      <alignment horizontal="center" vertical="center"/>
    </xf>
    <xf numFmtId="168" fontId="26" fillId="2" borderId="0" xfId="0" applyNumberFormat="1" applyFont="1" applyFill="1" applyBorder="1" applyAlignment="1">
      <alignment horizontal="center" vertical="center"/>
    </xf>
    <xf numFmtId="169" fontId="25" fillId="2" borderId="0" xfId="0" applyNumberFormat="1" applyFont="1" applyFill="1" applyBorder="1" applyAlignment="1">
      <alignment horizontal="center" vertical="center"/>
    </xf>
    <xf numFmtId="169" fontId="25" fillId="2" borderId="61" xfId="0" applyNumberFormat="1" applyFont="1" applyFill="1" applyBorder="1" applyAlignment="1">
      <alignment horizontal="center" vertical="center"/>
    </xf>
    <xf numFmtId="168" fontId="28" fillId="2" borderId="63" xfId="0" applyNumberFormat="1" applyFont="1" applyFill="1" applyBorder="1" applyAlignment="1">
      <alignment horizontal="center" vertical="center" wrapText="1"/>
    </xf>
    <xf numFmtId="9" fontId="25" fillId="2" borderId="64" xfId="5" applyNumberFormat="1" applyFont="1" applyFill="1" applyBorder="1" applyAlignment="1">
      <alignment horizontal="center" vertical="center"/>
    </xf>
    <xf numFmtId="9" fontId="25" fillId="2" borderId="65" xfId="5" applyNumberFormat="1" applyFont="1" applyFill="1" applyBorder="1" applyAlignment="1">
      <alignment horizontal="center" vertical="center"/>
    </xf>
    <xf numFmtId="0" fontId="19" fillId="25" borderId="66" xfId="0" applyFont="1" applyFill="1" applyBorder="1" applyAlignment="1">
      <alignment horizontal="center" vertical="center"/>
    </xf>
    <xf numFmtId="10" fontId="19" fillId="25" borderId="68" xfId="0" applyNumberFormat="1" applyFont="1" applyFill="1" applyBorder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0" fontId="19" fillId="25" borderId="63" xfId="0" applyFont="1" applyFill="1" applyBorder="1" applyAlignment="1">
      <alignment horizontal="center" vertical="center"/>
    </xf>
    <xf numFmtId="174" fontId="19" fillId="25" borderId="65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169" fontId="22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/>
    </xf>
    <xf numFmtId="175" fontId="14" fillId="5" borderId="49" xfId="0" applyNumberFormat="1" applyFont="1" applyFill="1" applyBorder="1" applyAlignment="1">
      <alignment horizontal="center" vertical="center"/>
    </xf>
    <xf numFmtId="175" fontId="0" fillId="5" borderId="49" xfId="0" applyNumberFormat="1" applyFill="1" applyBorder="1" applyAlignment="1">
      <alignment horizontal="center" vertical="center"/>
    </xf>
    <xf numFmtId="10" fontId="0" fillId="5" borderId="48" xfId="0" applyNumberForma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2" fontId="0" fillId="5" borderId="48" xfId="0" applyNumberFormat="1" applyFill="1" applyBorder="1" applyAlignment="1">
      <alignment horizontal="center" vertical="center"/>
    </xf>
    <xf numFmtId="4" fontId="0" fillId="5" borderId="48" xfId="0" applyNumberFormat="1" applyFill="1" applyBorder="1" applyAlignment="1">
      <alignment horizontal="center" vertical="center"/>
    </xf>
    <xf numFmtId="3" fontId="0" fillId="5" borderId="48" xfId="0" applyNumberFormat="1" applyFill="1" applyBorder="1" applyAlignment="1">
      <alignment horizontal="center" vertical="center"/>
    </xf>
    <xf numFmtId="10" fontId="0" fillId="16" borderId="48" xfId="0" applyNumberForma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4" fontId="46" fillId="5" borderId="23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56" fillId="4" borderId="61" xfId="0" applyFont="1" applyFill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/>
    </xf>
    <xf numFmtId="0" fontId="45" fillId="6" borderId="62" xfId="0" applyFont="1" applyFill="1" applyBorder="1" applyAlignment="1">
      <alignment horizontal="center" vertical="center"/>
    </xf>
    <xf numFmtId="0" fontId="29" fillId="6" borderId="61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171" fontId="49" fillId="2" borderId="61" xfId="0" applyNumberFormat="1" applyFont="1" applyFill="1" applyBorder="1" applyAlignment="1">
      <alignment horizontal="center" vertical="center"/>
    </xf>
    <xf numFmtId="171" fontId="58" fillId="2" borderId="58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3" fontId="49" fillId="5" borderId="0" xfId="0" applyNumberFormat="1" applyFont="1" applyFill="1" applyBorder="1" applyAlignment="1">
      <alignment horizontal="center" vertical="center"/>
    </xf>
    <xf numFmtId="3" fontId="49" fillId="5" borderId="11" xfId="0" applyNumberFormat="1" applyFont="1" applyFill="1" applyBorder="1" applyAlignment="1">
      <alignment horizontal="center" vertical="center"/>
    </xf>
    <xf numFmtId="177" fontId="0" fillId="5" borderId="0" xfId="0" applyNumberForma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10" fillId="5" borderId="72" xfId="0" applyFont="1" applyFill="1" applyBorder="1" applyAlignment="1">
      <alignment horizontal="center" vertical="center"/>
    </xf>
    <xf numFmtId="171" fontId="47" fillId="0" borderId="4" xfId="0" applyNumberFormat="1" applyFont="1" applyFill="1" applyBorder="1" applyAlignment="1">
      <alignment horizontal="center" vertical="center"/>
    </xf>
    <xf numFmtId="171" fontId="47" fillId="0" borderId="6" xfId="0" applyNumberFormat="1" applyFont="1" applyFill="1" applyBorder="1" applyAlignment="1">
      <alignment horizontal="center" vertical="center"/>
    </xf>
    <xf numFmtId="171" fontId="47" fillId="0" borderId="71" xfId="0" applyNumberFormat="1" applyFont="1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2" fontId="47" fillId="5" borderId="73" xfId="0" applyNumberFormat="1" applyFont="1" applyFill="1" applyBorder="1" applyAlignment="1">
      <alignment horizontal="center" vertical="center"/>
    </xf>
    <xf numFmtId="4" fontId="76" fillId="24" borderId="45" xfId="0" applyNumberFormat="1" applyFont="1" applyFill="1" applyBorder="1" applyAlignment="1">
      <alignment horizontal="right" vertical="center"/>
    </xf>
    <xf numFmtId="0" fontId="77" fillId="27" borderId="22" xfId="0" applyFont="1" applyFill="1" applyBorder="1" applyAlignment="1">
      <alignment horizontal="center" vertical="center"/>
    </xf>
    <xf numFmtId="171" fontId="75" fillId="27" borderId="45" xfId="0" applyNumberFormat="1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75" fillId="22" borderId="83" xfId="0" applyFont="1" applyFill="1" applyBorder="1" applyAlignment="1">
      <alignment horizontal="center" vertical="center" wrapText="1"/>
    </xf>
    <xf numFmtId="0" fontId="75" fillId="22" borderId="84" xfId="0" applyFont="1" applyFill="1" applyBorder="1" applyAlignment="1">
      <alignment horizontal="center" vertical="center" wrapText="1"/>
    </xf>
    <xf numFmtId="0" fontId="91" fillId="5" borderId="63" xfId="0" applyFont="1" applyFill="1" applyBorder="1" applyAlignment="1">
      <alignment horizontal="center" vertical="center"/>
    </xf>
    <xf numFmtId="0" fontId="26" fillId="27" borderId="82" xfId="0" applyFont="1" applyFill="1" applyBorder="1" applyAlignment="1">
      <alignment horizontal="center" vertical="center"/>
    </xf>
    <xf numFmtId="44" fontId="26" fillId="29" borderId="82" xfId="6" applyFont="1" applyFill="1" applyBorder="1" applyAlignment="1">
      <alignment horizontal="right" vertical="center"/>
    </xf>
    <xf numFmtId="44" fontId="26" fillId="12" borderId="82" xfId="6" applyFont="1" applyFill="1" applyBorder="1" applyAlignment="1">
      <alignment horizontal="right" vertical="center"/>
    </xf>
    <xf numFmtId="44" fontId="26" fillId="22" borderId="82" xfId="6" applyFont="1" applyFill="1" applyBorder="1" applyAlignment="1">
      <alignment horizontal="right" vertical="center"/>
    </xf>
    <xf numFmtId="176" fontId="26" fillId="22" borderId="82" xfId="0" applyNumberFormat="1" applyFont="1" applyFill="1" applyBorder="1" applyAlignment="1">
      <alignment horizontal="right" vertical="center"/>
    </xf>
    <xf numFmtId="176" fontId="26" fillId="22" borderId="85" xfId="0" applyNumberFormat="1" applyFont="1" applyFill="1" applyBorder="1" applyAlignment="1">
      <alignment horizontal="right" vertical="center"/>
    </xf>
    <xf numFmtId="0" fontId="26" fillId="5" borderId="86" xfId="0" applyFont="1" applyFill="1" applyBorder="1" applyAlignment="1">
      <alignment horizontal="center" vertical="center"/>
    </xf>
    <xf numFmtId="9" fontId="26" fillId="27" borderId="87" xfId="0" applyNumberFormat="1" applyFont="1" applyFill="1" applyBorder="1" applyAlignment="1">
      <alignment horizontal="center" vertical="center"/>
    </xf>
    <xf numFmtId="9" fontId="26" fillId="27" borderId="88" xfId="0" applyNumberFormat="1" applyFont="1" applyFill="1" applyBorder="1" applyAlignment="1">
      <alignment horizontal="center" vertical="center"/>
    </xf>
    <xf numFmtId="9" fontId="26" fillId="5" borderId="0" xfId="0" applyNumberFormat="1" applyFont="1" applyFill="1" applyAlignment="1">
      <alignment horizontal="center" vertical="center"/>
    </xf>
    <xf numFmtId="9" fontId="26" fillId="27" borderId="86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9" fontId="26" fillId="5" borderId="0" xfId="0" applyNumberFormat="1" applyFont="1" applyFill="1" applyBorder="1" applyAlignment="1">
      <alignment horizontal="center" vertical="center"/>
    </xf>
    <xf numFmtId="9" fontId="26" fillId="27" borderId="87" xfId="0" applyNumberFormat="1" applyFont="1" applyFill="1" applyBorder="1" applyAlignment="1">
      <alignment horizontal="center" vertical="center" wrapText="1"/>
    </xf>
    <xf numFmtId="44" fontId="26" fillId="27" borderId="88" xfId="0" applyNumberFormat="1" applyFont="1" applyFill="1" applyBorder="1" applyAlignment="1">
      <alignment horizontal="center" vertical="center"/>
    </xf>
    <xf numFmtId="0" fontId="90" fillId="5" borderId="0" xfId="0" applyFont="1" applyFill="1" applyAlignment="1">
      <alignment horizontal="center" vertical="center"/>
    </xf>
    <xf numFmtId="44" fontId="92" fillId="26" borderId="89" xfId="6" applyFont="1" applyFill="1" applyBorder="1" applyAlignment="1">
      <alignment horizontal="center" vertical="center" wrapText="1"/>
    </xf>
    <xf numFmtId="44" fontId="25" fillId="26" borderId="90" xfId="6" applyFont="1" applyFill="1" applyBorder="1" applyAlignment="1">
      <alignment horizontal="right" vertical="center" wrapText="1"/>
    </xf>
    <xf numFmtId="0" fontId="26" fillId="25" borderId="89" xfId="0" applyFont="1" applyFill="1" applyBorder="1" applyAlignment="1">
      <alignment horizontal="center" vertical="center"/>
    </xf>
    <xf numFmtId="4" fontId="26" fillId="25" borderId="90" xfId="0" applyNumberFormat="1" applyFont="1" applyFill="1" applyBorder="1" applyAlignment="1">
      <alignment horizontal="center" vertical="center"/>
    </xf>
    <xf numFmtId="44" fontId="92" fillId="26" borderId="91" xfId="6" applyFont="1" applyFill="1" applyBorder="1" applyAlignment="1">
      <alignment horizontal="center" vertical="center" wrapText="1"/>
    </xf>
    <xf numFmtId="44" fontId="25" fillId="26" borderId="70" xfId="6" applyFont="1" applyFill="1" applyBorder="1" applyAlignment="1">
      <alignment horizontal="right" vertical="center" wrapText="1"/>
    </xf>
    <xf numFmtId="0" fontId="26" fillId="25" borderId="91" xfId="0" applyFont="1" applyFill="1" applyBorder="1" applyAlignment="1">
      <alignment horizontal="center" vertical="center"/>
    </xf>
    <xf numFmtId="4" fontId="26" fillId="25" borderId="70" xfId="0" applyNumberFormat="1" applyFont="1" applyFill="1" applyBorder="1" applyAlignment="1">
      <alignment horizontal="center" vertical="center"/>
    </xf>
    <xf numFmtId="178" fontId="25" fillId="26" borderId="70" xfId="6" applyNumberFormat="1" applyFont="1" applyFill="1" applyBorder="1" applyAlignment="1">
      <alignment horizontal="right" vertical="center" wrapText="1"/>
    </xf>
    <xf numFmtId="9" fontId="26" fillId="25" borderId="70" xfId="0" applyNumberFormat="1" applyFont="1" applyFill="1" applyBorder="1" applyAlignment="1">
      <alignment horizontal="center" vertical="center"/>
    </xf>
    <xf numFmtId="9" fontId="25" fillId="26" borderId="70" xfId="5" applyFont="1" applyFill="1" applyBorder="1" applyAlignment="1">
      <alignment horizontal="right" vertical="center" wrapText="1"/>
    </xf>
    <xf numFmtId="0" fontId="26" fillId="25" borderId="92" xfId="0" applyFont="1" applyFill="1" applyBorder="1" applyAlignment="1">
      <alignment horizontal="center" vertical="center"/>
    </xf>
    <xf numFmtId="4" fontId="26" fillId="25" borderId="84" xfId="0" applyNumberFormat="1" applyFont="1" applyFill="1" applyBorder="1" applyAlignment="1">
      <alignment horizontal="center" vertical="center"/>
    </xf>
    <xf numFmtId="44" fontId="92" fillId="26" borderId="92" xfId="6" applyFont="1" applyFill="1" applyBorder="1" applyAlignment="1">
      <alignment horizontal="center" vertical="center" wrapText="1"/>
    </xf>
    <xf numFmtId="44" fontId="25" fillId="26" borderId="84" xfId="6" applyFont="1" applyFill="1" applyBorder="1" applyAlignment="1">
      <alignment horizontal="right" vertical="center" wrapText="1"/>
    </xf>
    <xf numFmtId="0" fontId="91" fillId="25" borderId="93" xfId="7" applyFont="1" applyFill="1" applyBorder="1" applyAlignment="1">
      <alignment horizontal="center" vertical="center"/>
    </xf>
    <xf numFmtId="4" fontId="26" fillId="25" borderId="94" xfId="7" applyNumberFormat="1" applyFont="1" applyFill="1" applyBorder="1" applyAlignment="1">
      <alignment horizontal="center" vertical="center"/>
    </xf>
    <xf numFmtId="0" fontId="90" fillId="25" borderId="95" xfId="7" applyFont="1" applyFill="1" applyBorder="1" applyAlignment="1">
      <alignment horizontal="center" vertical="center"/>
    </xf>
    <xf numFmtId="4" fontId="26" fillId="25" borderId="96" xfId="7" applyNumberFormat="1" applyFont="1" applyFill="1" applyBorder="1" applyAlignment="1">
      <alignment horizontal="center" vertical="center"/>
    </xf>
    <xf numFmtId="0" fontId="26" fillId="26" borderId="89" xfId="0" applyFont="1" applyFill="1" applyBorder="1" applyAlignment="1">
      <alignment horizontal="center" vertical="center"/>
    </xf>
    <xf numFmtId="0" fontId="25" fillId="26" borderId="97" xfId="0" applyFont="1" applyFill="1" applyBorder="1" applyAlignment="1">
      <alignment horizontal="center" vertical="center"/>
    </xf>
    <xf numFmtId="0" fontId="25" fillId="26" borderId="90" xfId="0" applyFont="1" applyFill="1" applyBorder="1" applyAlignment="1">
      <alignment horizontal="center" vertical="center"/>
    </xf>
    <xf numFmtId="0" fontId="26" fillId="26" borderId="91" xfId="0" applyFont="1" applyFill="1" applyBorder="1" applyAlignment="1">
      <alignment horizontal="center" vertical="center"/>
    </xf>
    <xf numFmtId="0" fontId="26" fillId="26" borderId="6" xfId="0" applyFont="1" applyFill="1" applyBorder="1" applyAlignment="1">
      <alignment horizontal="center" vertical="center"/>
    </xf>
    <xf numFmtId="44" fontId="26" fillId="26" borderId="6" xfId="0" applyNumberFormat="1" applyFont="1" applyFill="1" applyBorder="1" applyAlignment="1">
      <alignment horizontal="right" vertical="center"/>
    </xf>
    <xf numFmtId="44" fontId="26" fillId="26" borderId="70" xfId="0" applyNumberFormat="1" applyFont="1" applyFill="1" applyBorder="1" applyAlignment="1">
      <alignment horizontal="right" vertical="center"/>
    </xf>
    <xf numFmtId="9" fontId="26" fillId="26" borderId="6" xfId="5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26" fillId="26" borderId="70" xfId="0" applyNumberFormat="1" applyFont="1" applyFill="1" applyBorder="1" applyAlignment="1">
      <alignment horizontal="right" vertical="center"/>
    </xf>
    <xf numFmtId="0" fontId="90" fillId="25" borderId="98" xfId="7" applyFont="1" applyFill="1" applyBorder="1" applyAlignment="1">
      <alignment horizontal="center" vertical="center"/>
    </xf>
    <xf numFmtId="4" fontId="26" fillId="25" borderId="99" xfId="7" applyNumberFormat="1" applyFont="1" applyFill="1" applyBorder="1" applyAlignment="1">
      <alignment horizontal="center" vertical="center"/>
    </xf>
    <xf numFmtId="0" fontId="90" fillId="5" borderId="0" xfId="7" applyFont="1" applyFill="1" applyBorder="1" applyAlignment="1">
      <alignment horizontal="center" vertical="center"/>
    </xf>
    <xf numFmtId="0" fontId="26" fillId="5" borderId="0" xfId="7" applyFont="1" applyFill="1" applyBorder="1" applyAlignment="1">
      <alignment horizontal="center" vertical="center"/>
    </xf>
    <xf numFmtId="0" fontId="26" fillId="25" borderId="100" xfId="7" applyFont="1" applyFill="1" applyBorder="1" applyAlignment="1">
      <alignment horizontal="center" vertical="center"/>
    </xf>
    <xf numFmtId="0" fontId="25" fillId="26" borderId="92" xfId="0" applyFont="1" applyFill="1" applyBorder="1" applyAlignment="1">
      <alignment horizontal="center" vertical="center"/>
    </xf>
    <xf numFmtId="0" fontId="26" fillId="26" borderId="71" xfId="0" applyFont="1" applyFill="1" applyBorder="1" applyAlignment="1">
      <alignment horizontal="center" vertical="center"/>
    </xf>
    <xf numFmtId="44" fontId="25" fillId="26" borderId="71" xfId="0" applyNumberFormat="1" applyFont="1" applyFill="1" applyBorder="1" applyAlignment="1">
      <alignment horizontal="right" vertical="center"/>
    </xf>
    <xf numFmtId="44" fontId="25" fillId="26" borderId="84" xfId="0" applyNumberFormat="1" applyFont="1" applyFill="1" applyBorder="1" applyAlignment="1">
      <alignment horizontal="right" vertical="center"/>
    </xf>
    <xf numFmtId="44" fontId="26" fillId="5" borderId="0" xfId="0" applyNumberFormat="1" applyFont="1" applyFill="1" applyAlignment="1">
      <alignment horizontal="center" vertical="center"/>
    </xf>
    <xf numFmtId="4" fontId="26" fillId="25" borderId="101" xfId="7" applyNumberFormat="1" applyFont="1" applyFill="1" applyBorder="1" applyAlignment="1">
      <alignment horizontal="center" vertical="center"/>
    </xf>
    <xf numFmtId="4" fontId="26" fillId="25" borderId="102" xfId="7" applyNumberFormat="1" applyFont="1" applyFill="1" applyBorder="1" applyAlignment="1">
      <alignment horizontal="center" vertical="center"/>
    </xf>
    <xf numFmtId="0" fontId="90" fillId="5" borderId="0" xfId="0" applyFont="1" applyFill="1" applyBorder="1" applyAlignment="1">
      <alignment horizontal="center" vertical="center"/>
    </xf>
    <xf numFmtId="0" fontId="26" fillId="25" borderId="94" xfId="7" applyFont="1" applyFill="1" applyBorder="1" applyAlignment="1">
      <alignment horizontal="center" vertical="center"/>
    </xf>
    <xf numFmtId="0" fontId="91" fillId="25" borderId="74" xfId="7" applyFont="1" applyFill="1" applyAlignment="1">
      <alignment horizontal="center" vertical="center"/>
    </xf>
    <xf numFmtId="0" fontId="26" fillId="25" borderId="74" xfId="7" applyFont="1" applyFill="1" applyAlignment="1">
      <alignment horizontal="center" vertical="center"/>
    </xf>
    <xf numFmtId="0" fontId="90" fillId="25" borderId="74" xfId="7" applyFont="1" applyFill="1" applyAlignment="1">
      <alignment horizontal="center" vertical="center"/>
    </xf>
    <xf numFmtId="4" fontId="26" fillId="25" borderId="74" xfId="7" applyNumberFormat="1" applyFont="1" applyFill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44" fontId="25" fillId="25" borderId="86" xfId="6" applyFont="1" applyFill="1" applyBorder="1" applyAlignment="1">
      <alignment horizontal="center"/>
    </xf>
    <xf numFmtId="44" fontId="25" fillId="5" borderId="0" xfId="6" applyFont="1" applyFill="1" applyAlignment="1">
      <alignment horizontal="center"/>
    </xf>
    <xf numFmtId="44" fontId="25" fillId="25" borderId="105" xfId="6" applyFont="1" applyFill="1" applyBorder="1" applyAlignment="1">
      <alignment horizontal="center"/>
    </xf>
    <xf numFmtId="44" fontId="25" fillId="25" borderId="106" xfId="6" applyFont="1" applyFill="1" applyBorder="1" applyAlignment="1">
      <alignment horizontal="center"/>
    </xf>
    <xf numFmtId="0" fontId="25" fillId="25" borderId="9" xfId="0" applyFont="1" applyFill="1" applyBorder="1" applyAlignment="1">
      <alignment horizontal="center" vertical="center"/>
    </xf>
    <xf numFmtId="44" fontId="25" fillId="25" borderId="9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3" fontId="31" fillId="2" borderId="0" xfId="0" applyNumberFormat="1" applyFont="1" applyFill="1" applyBorder="1" applyAlignment="1">
      <alignment horizontal="center" vertical="center"/>
    </xf>
    <xf numFmtId="10" fontId="47" fillId="3" borderId="6" xfId="0" applyNumberFormat="1" applyFont="1" applyFill="1" applyBorder="1" applyAlignment="1">
      <alignment horizontal="center" vertical="center"/>
    </xf>
    <xf numFmtId="49" fontId="85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82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83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86" fillId="20" borderId="52" xfId="0" applyFont="1" applyFill="1" applyBorder="1" applyAlignment="1">
      <alignment horizontal="center" vertical="center"/>
    </xf>
    <xf numFmtId="0" fontId="86" fillId="20" borderId="53" xfId="0" applyFont="1" applyFill="1" applyBorder="1" applyAlignment="1">
      <alignment horizontal="center" vertical="center"/>
    </xf>
    <xf numFmtId="0" fontId="86" fillId="20" borderId="54" xfId="0" applyFont="1" applyFill="1" applyBorder="1" applyAlignment="1">
      <alignment horizontal="center" vertical="center"/>
    </xf>
    <xf numFmtId="0" fontId="84" fillId="14" borderId="59" xfId="0" applyFont="1" applyFill="1" applyBorder="1" applyAlignment="1">
      <alignment horizontal="center" vertical="center"/>
    </xf>
    <xf numFmtId="0" fontId="84" fillId="14" borderId="3" xfId="0" applyFont="1" applyFill="1" applyBorder="1" applyAlignment="1">
      <alignment horizontal="center" vertical="center"/>
    </xf>
    <xf numFmtId="0" fontId="84" fillId="14" borderId="5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62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12" borderId="62" xfId="0" applyFont="1" applyFill="1" applyBorder="1" applyAlignment="1">
      <alignment horizontal="center" vertical="center"/>
    </xf>
    <xf numFmtId="0" fontId="29" fillId="12" borderId="0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50" fillId="4" borderId="62" xfId="0" applyFont="1" applyFill="1" applyBorder="1" applyAlignment="1">
      <alignment horizontal="center" vertical="center" wrapText="1"/>
    </xf>
    <xf numFmtId="0" fontId="50" fillId="4" borderId="63" xfId="0" applyFont="1" applyFill="1" applyBorder="1" applyAlignment="1">
      <alignment horizontal="center" vertical="center" wrapText="1"/>
    </xf>
    <xf numFmtId="0" fontId="45" fillId="19" borderId="4" xfId="0" applyFont="1" applyFill="1" applyBorder="1" applyAlignment="1">
      <alignment horizontal="center" vertical="center"/>
    </xf>
    <xf numFmtId="0" fontId="45" fillId="19" borderId="3" xfId="0" applyFont="1" applyFill="1" applyBorder="1" applyAlignment="1">
      <alignment horizontal="center" vertical="center"/>
    </xf>
    <xf numFmtId="0" fontId="45" fillId="19" borderId="5" xfId="0" applyFont="1" applyFill="1" applyBorder="1" applyAlignment="1">
      <alignment horizontal="center" vertical="center"/>
    </xf>
    <xf numFmtId="0" fontId="45" fillId="11" borderId="4" xfId="0" applyFont="1" applyFill="1" applyBorder="1" applyAlignment="1">
      <alignment horizontal="center" vertical="center"/>
    </xf>
    <xf numFmtId="0" fontId="45" fillId="11" borderId="60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45" fillId="11" borderId="15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center" vertical="center"/>
    </xf>
    <xf numFmtId="0" fontId="45" fillId="11" borderId="61" xfId="0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/>
    </xf>
    <xf numFmtId="0" fontId="75" fillId="22" borderId="78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/>
    </xf>
    <xf numFmtId="0" fontId="91" fillId="25" borderId="103" xfId="7" applyFont="1" applyFill="1" applyBorder="1" applyAlignment="1">
      <alignment horizontal="center" vertical="center"/>
    </xf>
    <xf numFmtId="0" fontId="91" fillId="25" borderId="104" xfId="7" applyFont="1" applyFill="1" applyBorder="1" applyAlignment="1">
      <alignment horizontal="center" vertical="center"/>
    </xf>
    <xf numFmtId="49" fontId="75" fillId="12" borderId="77" xfId="0" applyNumberFormat="1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75" fillId="22" borderId="77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22" fillId="9" borderId="75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22" fillId="9" borderId="76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2" fillId="29" borderId="77" xfId="0" applyFont="1" applyFill="1" applyBorder="1" applyAlignment="1">
      <alignment horizontal="center" vertical="center" wrapText="1"/>
    </xf>
    <xf numFmtId="49" fontId="75" fillId="12" borderId="77" xfId="0" applyNumberFormat="1" applyFont="1" applyFill="1" applyBorder="1" applyAlignment="1">
      <alignment horizontal="center" vertical="center" wrapText="1"/>
    </xf>
    <xf numFmtId="0" fontId="90" fillId="25" borderId="66" xfId="7" applyFont="1" applyFill="1" applyBorder="1" applyAlignment="1">
      <alignment horizontal="center" vertical="center"/>
    </xf>
    <xf numFmtId="0" fontId="90" fillId="25" borderId="67" xfId="7" applyFont="1" applyFill="1" applyBorder="1" applyAlignment="1">
      <alignment horizontal="center" vertical="center"/>
    </xf>
    <xf numFmtId="0" fontId="90" fillId="25" borderId="68" xfId="7" applyFont="1" applyFill="1" applyBorder="1" applyAlignment="1">
      <alignment horizontal="center" vertical="center"/>
    </xf>
    <xf numFmtId="0" fontId="90" fillId="25" borderId="63" xfId="7" applyFont="1" applyFill="1" applyBorder="1" applyAlignment="1">
      <alignment horizontal="center" vertical="center"/>
    </xf>
    <xf numFmtId="0" fontId="90" fillId="25" borderId="64" xfId="7" applyFont="1" applyFill="1" applyBorder="1" applyAlignment="1">
      <alignment horizontal="center" vertical="center"/>
    </xf>
    <xf numFmtId="0" fontId="90" fillId="25" borderId="65" xfId="7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52" fillId="2" borderId="62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27" fillId="5" borderId="63" xfId="0" applyFont="1" applyFill="1" applyBorder="1" applyAlignment="1">
      <alignment horizontal="center" vertical="center"/>
    </xf>
    <xf numFmtId="0" fontId="27" fillId="5" borderId="64" xfId="0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2" fillId="2" borderId="33" xfId="0" applyFont="1" applyFill="1" applyBorder="1" applyAlignment="1">
      <alignment horizontal="center" vertical="center" wrapText="1"/>
    </xf>
    <xf numFmtId="0" fontId="86" fillId="4" borderId="19" xfId="0" applyFont="1" applyFill="1" applyBorder="1" applyAlignment="1">
      <alignment horizontal="center" vertical="center"/>
    </xf>
    <xf numFmtId="0" fontId="86" fillId="4" borderId="20" xfId="0" applyFont="1" applyFill="1" applyBorder="1" applyAlignment="1">
      <alignment horizontal="center" vertical="center"/>
    </xf>
    <xf numFmtId="0" fontId="86" fillId="4" borderId="38" xfId="0" applyFont="1" applyFill="1" applyBorder="1" applyAlignment="1">
      <alignment horizontal="center" vertical="center"/>
    </xf>
    <xf numFmtId="0" fontId="86" fillId="4" borderId="39" xfId="0" applyFont="1" applyFill="1" applyBorder="1" applyAlignment="1">
      <alignment horizontal="center" vertical="center"/>
    </xf>
    <xf numFmtId="0" fontId="60" fillId="4" borderId="15" xfId="0" applyFont="1" applyFill="1" applyBorder="1" applyAlignment="1">
      <alignment horizontal="center" vertical="center"/>
    </xf>
    <xf numFmtId="0" fontId="60" fillId="4" borderId="11" xfId="0" applyFont="1" applyFill="1" applyBorder="1" applyAlignment="1">
      <alignment horizontal="center" vertical="center"/>
    </xf>
    <xf numFmtId="0" fontId="60" fillId="4" borderId="28" xfId="0" applyFont="1" applyFill="1" applyBorder="1" applyAlignment="1">
      <alignment horizontal="center" vertical="center"/>
    </xf>
    <xf numFmtId="0" fontId="52" fillId="2" borderId="55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6" borderId="52" xfId="0" applyFont="1" applyFill="1" applyBorder="1" applyAlignment="1">
      <alignment horizontal="center" vertical="center"/>
    </xf>
    <xf numFmtId="0" fontId="27" fillId="6" borderId="53" xfId="0" applyFont="1" applyFill="1" applyBorder="1" applyAlignment="1">
      <alignment horizontal="center" vertical="center"/>
    </xf>
    <xf numFmtId="0" fontId="50" fillId="4" borderId="59" xfId="0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 vertical="center"/>
    </xf>
    <xf numFmtId="0" fontId="50" fillId="4" borderId="60" xfId="0" applyFont="1" applyFill="1" applyBorder="1" applyAlignment="1">
      <alignment horizontal="center" vertical="center"/>
    </xf>
    <xf numFmtId="0" fontId="60" fillId="4" borderId="4" xfId="0" applyFont="1" applyFill="1" applyBorder="1" applyAlignment="1">
      <alignment horizontal="center" vertical="center" wrapText="1"/>
    </xf>
    <xf numFmtId="0" fontId="60" fillId="4" borderId="3" xfId="0" applyFont="1" applyFill="1" applyBorder="1" applyAlignment="1">
      <alignment horizontal="center" vertical="center" wrapText="1"/>
    </xf>
    <xf numFmtId="0" fontId="60" fillId="4" borderId="29" xfId="0" applyFont="1" applyFill="1" applyBorder="1" applyAlignment="1">
      <alignment horizontal="center" vertical="center" wrapText="1"/>
    </xf>
    <xf numFmtId="0" fontId="63" fillId="7" borderId="3" xfId="0" applyFont="1" applyFill="1" applyBorder="1" applyAlignment="1">
      <alignment horizontal="center" vertical="center"/>
    </xf>
    <xf numFmtId="0" fontId="63" fillId="7" borderId="40" xfId="0" applyFont="1" applyFill="1" applyBorder="1" applyAlignment="1">
      <alignment horizontal="center" vertical="center"/>
    </xf>
    <xf numFmtId="0" fontId="31" fillId="21" borderId="0" xfId="0" applyFont="1" applyFill="1" applyBorder="1" applyAlignment="1">
      <alignment horizontal="center" vertical="center"/>
    </xf>
    <xf numFmtId="0" fontId="29" fillId="21" borderId="0" xfId="0" applyFont="1" applyFill="1" applyBorder="1" applyAlignment="1">
      <alignment horizontal="center" vertical="center"/>
    </xf>
    <xf numFmtId="0" fontId="45" fillId="4" borderId="37" xfId="0" applyFont="1" applyFill="1" applyBorder="1" applyAlignment="1">
      <alignment horizontal="center" vertical="center"/>
    </xf>
    <xf numFmtId="0" fontId="45" fillId="4" borderId="38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4" fontId="46" fillId="5" borderId="28" xfId="0" applyNumberFormat="1" applyFont="1" applyFill="1" applyBorder="1" applyAlignment="1">
      <alignment horizontal="center" vertical="center"/>
    </xf>
    <xf numFmtId="4" fontId="46" fillId="5" borderId="23" xfId="0" applyNumberFormat="1" applyFont="1" applyFill="1" applyBorder="1" applyAlignment="1">
      <alignment horizontal="center" vertical="center"/>
    </xf>
    <xf numFmtId="4" fontId="46" fillId="5" borderId="29" xfId="0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horizontal="center" vertical="center"/>
    </xf>
    <xf numFmtId="0" fontId="50" fillId="4" borderId="19" xfId="0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50" fillId="4" borderId="21" xfId="0" applyFont="1" applyFill="1" applyBorder="1" applyAlignment="1">
      <alignment horizontal="center" vertical="center" wrapText="1"/>
    </xf>
    <xf numFmtId="0" fontId="50" fillId="4" borderId="22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0" fillId="4" borderId="23" xfId="0" applyFont="1" applyFill="1" applyBorder="1" applyAlignment="1">
      <alignment horizontal="center" vertical="center" wrapText="1"/>
    </xf>
    <xf numFmtId="0" fontId="86" fillId="4" borderId="66" xfId="0" applyFont="1" applyFill="1" applyBorder="1" applyAlignment="1">
      <alignment horizontal="center" vertical="center"/>
    </xf>
    <xf numFmtId="0" fontId="86" fillId="4" borderId="67" xfId="0" applyFont="1" applyFill="1" applyBorder="1" applyAlignment="1">
      <alignment horizontal="center" vertical="center"/>
    </xf>
    <xf numFmtId="0" fontId="70" fillId="10" borderId="62" xfId="0" applyFont="1" applyFill="1" applyBorder="1" applyAlignment="1">
      <alignment horizontal="center" vertical="center" wrapText="1"/>
    </xf>
    <xf numFmtId="0" fontId="59" fillId="15" borderId="62" xfId="0" applyFont="1" applyFill="1" applyBorder="1" applyAlignment="1">
      <alignment horizontal="center" vertical="center" wrapText="1"/>
    </xf>
    <xf numFmtId="0" fontId="70" fillId="13" borderId="62" xfId="0" applyFont="1" applyFill="1" applyBorder="1" applyAlignment="1">
      <alignment horizontal="center" vertical="center" wrapText="1"/>
    </xf>
    <xf numFmtId="0" fontId="70" fillId="22" borderId="62" xfId="0" applyFont="1" applyFill="1" applyBorder="1" applyAlignment="1">
      <alignment horizontal="center" vertical="center" wrapText="1"/>
    </xf>
    <xf numFmtId="0" fontId="70" fillId="17" borderId="62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78" fillId="4" borderId="22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center" vertical="center"/>
    </xf>
    <xf numFmtId="0" fontId="78" fillId="4" borderId="23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87" fillId="5" borderId="69" xfId="0" applyFont="1" applyFill="1" applyBorder="1" applyAlignment="1">
      <alignment horizontal="center" vertical="center"/>
    </xf>
    <xf numFmtId="0" fontId="88" fillId="5" borderId="69" xfId="0" applyFon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4" fontId="0" fillId="5" borderId="50" xfId="0" applyNumberFormat="1" applyFill="1" applyBorder="1" applyAlignment="1">
      <alignment horizontal="center" vertical="center"/>
    </xf>
    <xf numFmtId="4" fontId="0" fillId="5" borderId="49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175" fontId="14" fillId="5" borderId="12" xfId="0" applyNumberFormat="1" applyFont="1" applyFill="1" applyBorder="1" applyAlignment="1">
      <alignment horizontal="center" vertical="center"/>
    </xf>
    <xf numFmtId="175" fontId="14" fillId="5" borderId="13" xfId="0" applyNumberFormat="1" applyFont="1" applyFill="1" applyBorder="1" applyAlignment="1">
      <alignment horizontal="center" vertical="center"/>
    </xf>
    <xf numFmtId="175" fontId="14" fillId="5" borderId="49" xfId="0" applyNumberFormat="1" applyFont="1" applyFill="1" applyBorder="1" applyAlignment="1">
      <alignment horizontal="center" vertical="center"/>
    </xf>
  </cellXfs>
  <cellStyles count="8">
    <cellStyle name="Εισαγωγή" xfId="7" builtinId="20"/>
    <cellStyle name="Κανονικό" xfId="0" builtinId="0"/>
    <cellStyle name="Κανονικό 2" xfId="1"/>
    <cellStyle name="Κόμμα 2" xfId="3"/>
    <cellStyle name="Νομισματική μονάδα" xfId="6" builtinId="4"/>
    <cellStyle name="Νομισματική μονάδα 2" xfId="2"/>
    <cellStyle name="Ποσοστό" xfId="5" builtinId="5"/>
    <cellStyle name="Ποσοστό 2" xfId="4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200"/>
              <a:t>ΕΓΚΑΤΕΣΤΗΜΕΝΟΙ ΛΑΜΠΤΗΡΕΣ ΠΑΛΑΙΟΥ ΤΥΠΟΥ </a:t>
            </a:r>
          </a:p>
        </c:rich>
      </c:tx>
      <c:layout>
        <c:manualLayout>
          <c:xMode val="edge"/>
          <c:yMode val="edge"/>
          <c:x val="9.1133236523851469E-2"/>
          <c:y val="3.41585973922275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03001191419243"/>
          <c:y val="0.24443110810419538"/>
          <c:w val="0.70871633570512049"/>
          <c:h val="0.49060817536647267"/>
        </c:manualLayout>
      </c:layout>
      <c:pieChart>
        <c:varyColors val="1"/>
        <c:ser>
          <c:idx val="0"/>
          <c:order val="0"/>
          <c:tx>
            <c:strRef>
              <c:f>'ΒΑΣΙΚΟ ΣΕΝΑΡΙΟ'!$B$4</c:f>
              <c:strCache>
                <c:ptCount val="1"/>
                <c:pt idx="0">
                  <c:v>ΕΓΚΑΤΕΣΤΗΜΕΝΟΙ 
ΛΑΜΠΤΗΡΕΣ / ΦΩΤΙΣΤΙΚΑ
 ΠΑΛΑΙΟΥ ΤΥΠΟΥ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'ΒΑΣΙΚΟ ΣΕΝΑΡΙΟ'!$C$4:$C$8</c:f>
              <c:strCache>
                <c:ptCount val="5"/>
                <c:pt idx="0">
                  <c:v>Φωτιστικά σώματα τύπου σφαίρας ή φανάρι επί χαμηλού ιστού 70W</c:v>
                </c:pt>
                <c:pt idx="1">
                  <c:v>Φωτιστικά σώματα τύπου σφαίρας ή φανάρι επί χαμηλού ιστού 125W</c:v>
                </c:pt>
                <c:pt idx="2">
                  <c:v>Φωτιστικά σώματα τύπου σφαίρας ή φανάρι επί χαμηλού ιστού 250W</c:v>
                </c:pt>
                <c:pt idx="3">
                  <c:v>Φωτιστικά σώματα οδοφωτισμού επί ιστού ΔΕΗ ή ποδηλατόδρομου 125W</c:v>
                </c:pt>
                <c:pt idx="4">
                  <c:v>Φωτιστικά σώματα οδοφωτισμού επί ψήλου ιστού 250W</c:v>
                </c:pt>
              </c:strCache>
            </c:strRef>
          </c:cat>
          <c:val>
            <c:numRef>
              <c:f>'ΒΑΣΙΚΟ ΣΕΝΑΡΙΟ'!$E$4:$E$8</c:f>
              <c:numCache>
                <c:formatCode>#,##0</c:formatCode>
                <c:ptCount val="5"/>
                <c:pt idx="0">
                  <c:v>500</c:v>
                </c:pt>
                <c:pt idx="1">
                  <c:v>109</c:v>
                </c:pt>
                <c:pt idx="2">
                  <c:v>294</c:v>
                </c:pt>
                <c:pt idx="3">
                  <c:v>3284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1-4229-B37D-21D682ED5E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solidFill>
          <a:schemeClr val="bg1">
            <a:lumMod val="65000"/>
          </a:schemeClr>
        </a:solidFill>
      </c:spPr>
    </c:plotArea>
    <c:legend>
      <c:legendPos val="r"/>
      <c:layout>
        <c:manualLayout>
          <c:xMode val="edge"/>
          <c:yMode val="edge"/>
          <c:x val="2.8494933055819155E-2"/>
          <c:y val="0.86673455829626023"/>
          <c:w val="0.95984162377251825"/>
          <c:h val="0.108459197757281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65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'ΤΑΜΕΙΑΚΕΣ ΡΟΕΣ - ΔΕΙΚΤΕΣ'!$B$29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marker>
            <c:symbol val="none"/>
          </c:marker>
          <c:cat>
            <c:numRef>
              <c:f>'ΤΑΜΕΙΑΚΕΣ ΡΟΕΣ - ΔΕΙΚΤΕΣ'!$D$22:$O$22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'ΤΑΜΕΙΑΚΕΣ ΡΟΕΣ - ΔΕΙΚΤΕΣ'!$D$29:$O$29</c:f>
              <c:numCache>
                <c:formatCode>#,##0_ ;[Red]\-#,##0\ </c:formatCode>
                <c:ptCount val="12"/>
                <c:pt idx="0">
                  <c:v>-1422203.6145843698</c:v>
                </c:pt>
                <c:pt idx="1">
                  <c:v>-1144023.2047016297</c:v>
                </c:pt>
                <c:pt idx="2">
                  <c:v>-857074.39536510175</c:v>
                </c:pt>
                <c:pt idx="3">
                  <c:v>-561132.24247281638</c:v>
                </c:pt>
                <c:pt idx="4">
                  <c:v>-255966.09230852034</c:v>
                </c:pt>
                <c:pt idx="5">
                  <c:v>58660.562488856609</c:v>
                </c:pt>
                <c:pt idx="6">
                  <c:v>382990.23057585023</c:v>
                </c:pt>
                <c:pt idx="7">
                  <c:v>717271.57326602016</c:v>
                </c:pt>
                <c:pt idx="8">
                  <c:v>1061759.5596954855</c:v>
                </c:pt>
                <c:pt idx="9">
                  <c:v>1416715.6258878331</c:v>
                </c:pt>
                <c:pt idx="10">
                  <c:v>1782407.8378161914</c:v>
                </c:pt>
                <c:pt idx="11">
                  <c:v>2159111.058562703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E-4DBD-AAA9-D14017CE6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34848"/>
        <c:axId val="109944832"/>
      </c:lineChart>
      <c:dateAx>
        <c:axId val="109934848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crossAx val="109944832"/>
        <c:crosses val="autoZero"/>
        <c:auto val="0"/>
        <c:lblOffset val="100"/>
        <c:baseTimeUnit val="days"/>
      </c:dateAx>
      <c:valAx>
        <c:axId val="109944832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10993484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ΑΝΑΛΥΣΗ'!$C$5</c:f>
              <c:strCache>
                <c:ptCount val="1"/>
                <c:pt idx="0">
                  <c:v>Κόστος Κατανάλωσης Ενέργειας  (OLD)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ΑΝΑΛΥΣΗ'!$F$5:$Q$5</c:f>
              <c:numCache>
                <c:formatCode>#,##0.00</c:formatCode>
                <c:ptCount val="12"/>
                <c:pt idx="0">
                  <c:v>500262.39532500011</c:v>
                </c:pt>
                <c:pt idx="1">
                  <c:v>512768.95520812506</c:v>
                </c:pt>
                <c:pt idx="2">
                  <c:v>525588.17908832815</c:v>
                </c:pt>
                <c:pt idx="3">
                  <c:v>538727.88356553635</c:v>
                </c:pt>
                <c:pt idx="4">
                  <c:v>552196.08065467479</c:v>
                </c:pt>
                <c:pt idx="5">
                  <c:v>566000.98267104174</c:v>
                </c:pt>
                <c:pt idx="6">
                  <c:v>580151.00723781774</c:v>
                </c:pt>
                <c:pt idx="7">
                  <c:v>594654.78241876315</c:v>
                </c:pt>
                <c:pt idx="8">
                  <c:v>609521.15197923232</c:v>
                </c:pt>
                <c:pt idx="9">
                  <c:v>624759.1807787132</c:v>
                </c:pt>
                <c:pt idx="10">
                  <c:v>640378.160298181</c:v>
                </c:pt>
                <c:pt idx="11">
                  <c:v>656387.61430563556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3-47A3-B707-F632CB3A16E9}"/>
            </c:ext>
          </c:extLst>
        </c:ser>
        <c:ser>
          <c:idx val="1"/>
          <c:order val="1"/>
          <c:tx>
            <c:strRef>
              <c:f>'ΧΡΗΜ. ΑΝΑΛΥΣΗ'!$C$9</c:f>
              <c:strCache>
                <c:ptCount val="1"/>
                <c:pt idx="0">
                  <c:v>Κόστος Κατανάλωσης Ενέργειας  (NEW)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ΑΝΑΛΥΣΗ'!$F$9:$Q$9</c:f>
              <c:numCache>
                <c:formatCode>#,##0.00</c:formatCode>
                <c:ptCount val="12"/>
                <c:pt idx="0">
                  <c:v>135703.91664060001</c:v>
                </c:pt>
                <c:pt idx="1">
                  <c:v>139096.514556615</c:v>
                </c:pt>
                <c:pt idx="2">
                  <c:v>142573.92742053038</c:v>
                </c:pt>
                <c:pt idx="3">
                  <c:v>146138.27560604364</c:v>
                </c:pt>
                <c:pt idx="4">
                  <c:v>149791.73249619475</c:v>
                </c:pt>
                <c:pt idx="5">
                  <c:v>153536.5258085996</c:v>
                </c:pt>
                <c:pt idx="6">
                  <c:v>157374.93895381459</c:v>
                </c:pt>
                <c:pt idx="7">
                  <c:v>161309.31242765996</c:v>
                </c:pt>
                <c:pt idx="8">
                  <c:v>165342.04523835148</c:v>
                </c:pt>
                <c:pt idx="9">
                  <c:v>169475.59636931025</c:v>
                </c:pt>
                <c:pt idx="10">
                  <c:v>173712.48627854305</c:v>
                </c:pt>
                <c:pt idx="11">
                  <c:v>178055.29843550659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3-47A3-B707-F632CB3A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82240"/>
        <c:axId val="108283776"/>
      </c:lineChart>
      <c:catAx>
        <c:axId val="1082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83776"/>
        <c:crosses val="autoZero"/>
        <c:auto val="1"/>
        <c:lblAlgn val="ctr"/>
        <c:lblOffset val="100"/>
        <c:noMultiLvlLbl val="0"/>
      </c:catAx>
      <c:valAx>
        <c:axId val="10828377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8282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'ΤΑΜΕΙΑΚΕΣ ΡΟΕΣ - ΔΕΙΚΤΕΣ'!$B$17</c:f>
              <c:strCache>
                <c:ptCount val="1"/>
                <c:pt idx="0">
                  <c:v>Αποπληρωμή Δανείου Πρόγραμμα (Τόκοι+Κεφάλαιο) (12)</c:v>
                </c:pt>
              </c:strCache>
            </c:strRef>
          </c:tx>
          <c:invertIfNegative val="0"/>
          <c:val>
            <c:numRef>
              <c:f>'ΤΑΜΕΙΑΚΕΣ ΡΟΕΣ - ΔΕΙΚΤΕΣ'!$D$17:$O$17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E-446B-8CA7-BD2C17553AA5}"/>
            </c:ext>
          </c:extLst>
        </c:ser>
        <c:ser>
          <c:idx val="1"/>
          <c:order val="1"/>
          <c:tx>
            <c:strRef>
              <c:f>'ΤΑΜΕΙΑΚΕΣ ΡΟΕΣ - ΔΕΙΚΤΕΣ'!$B$18</c:f>
              <c:strCache>
                <c:ptCount val="1"/>
                <c:pt idx="0">
                  <c:v>Αποπληρωμή Τραπ. Δανεισμού (Τόκοι+Κεφάλαιο) (13)</c:v>
                </c:pt>
              </c:strCache>
            </c:strRef>
          </c:tx>
          <c:invertIfNegative val="0"/>
          <c:val>
            <c:numRef>
              <c:f>'ΤΑΜΕΙΑΚΕΣ ΡΟΕΣ - ΔΕΙΚΤΕΣ'!$D$18:$O$18</c:f>
              <c:numCache>
                <c:formatCode>#,##0_ ;[Red]\-#,##0\ </c:formatCode>
                <c:ptCount val="12"/>
                <c:pt idx="0">
                  <c:v>-57264.593268769881</c:v>
                </c:pt>
                <c:pt idx="1">
                  <c:v>-57264.593268769881</c:v>
                </c:pt>
                <c:pt idx="2">
                  <c:v>-57264.593268769881</c:v>
                </c:pt>
                <c:pt idx="3">
                  <c:v>-57264.593268769881</c:v>
                </c:pt>
                <c:pt idx="4">
                  <c:v>-57264.593268769881</c:v>
                </c:pt>
                <c:pt idx="5">
                  <c:v>-57264.593268769881</c:v>
                </c:pt>
                <c:pt idx="6">
                  <c:v>-57264.593268769881</c:v>
                </c:pt>
                <c:pt idx="7">
                  <c:v>-57264.593268769881</c:v>
                </c:pt>
                <c:pt idx="8">
                  <c:v>-57264.593268769881</c:v>
                </c:pt>
                <c:pt idx="9">
                  <c:v>-57264.593268769881</c:v>
                </c:pt>
                <c:pt idx="10">
                  <c:v>-57264.593268769881</c:v>
                </c:pt>
                <c:pt idx="11">
                  <c:v>-57264.593268769881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E-446B-8CA7-BD2C17553AA5}"/>
            </c:ext>
          </c:extLst>
        </c:ser>
        <c:ser>
          <c:idx val="2"/>
          <c:order val="2"/>
          <c:tx>
            <c:strRef>
              <c:f>'ΤΑΜΕΙΑΚΕΣ ΡΟΕΣ - ΔΕΙΚΤΕΣ'!$B$29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invertIfNegative val="0"/>
          <c:val>
            <c:numRef>
              <c:f>'ΤΑΜΕΙΑΚΕΣ ΡΟΕΣ - ΔΕΙΚΤΕΣ'!$D$29:$O$29</c:f>
              <c:numCache>
                <c:formatCode>#,##0_ ;[Red]\-#,##0\ </c:formatCode>
                <c:ptCount val="12"/>
                <c:pt idx="0">
                  <c:v>-1422203.6145843698</c:v>
                </c:pt>
                <c:pt idx="1">
                  <c:v>-1144023.2047016297</c:v>
                </c:pt>
                <c:pt idx="2">
                  <c:v>-857074.39536510175</c:v>
                </c:pt>
                <c:pt idx="3">
                  <c:v>-561132.24247281638</c:v>
                </c:pt>
                <c:pt idx="4">
                  <c:v>-255966.09230852034</c:v>
                </c:pt>
                <c:pt idx="5">
                  <c:v>58660.562488856609</c:v>
                </c:pt>
                <c:pt idx="6">
                  <c:v>382990.23057585023</c:v>
                </c:pt>
                <c:pt idx="7">
                  <c:v>717271.57326602016</c:v>
                </c:pt>
                <c:pt idx="8">
                  <c:v>1061759.5596954855</c:v>
                </c:pt>
                <c:pt idx="9">
                  <c:v>1416715.6258878331</c:v>
                </c:pt>
                <c:pt idx="10">
                  <c:v>1782407.8378161914</c:v>
                </c:pt>
                <c:pt idx="11">
                  <c:v>2159111.058562703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E-446B-8CA7-BD2C17553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08313984"/>
        <c:axId val="108319872"/>
        <c:axId val="0"/>
      </c:bar3DChart>
      <c:catAx>
        <c:axId val="108313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319872"/>
        <c:crosses val="autoZero"/>
        <c:auto val="1"/>
        <c:lblAlgn val="ctr"/>
        <c:lblOffset val="100"/>
        <c:noMultiLvlLbl val="0"/>
      </c:catAx>
      <c:valAx>
        <c:axId val="108319872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10831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ΑΝΑΛΥΣΗ'!$C$12:$D$12</c:f>
              <c:strCache>
                <c:ptCount val="2"/>
                <c:pt idx="0">
                  <c:v>Εξοικονόμηση Ενέργειας σε</c:v>
                </c:pt>
                <c:pt idx="1">
                  <c:v>€</c:v>
                </c:pt>
              </c:strCache>
            </c:strRef>
          </c:tx>
          <c:marker>
            <c:symbol val="none"/>
          </c:marker>
          <c:val>
            <c:numRef>
              <c:f>'ΧΡΗΜ. ΑΝΑΛΥΣΗ'!$F$12:$Q$12</c:f>
              <c:numCache>
                <c:formatCode>#,##0.00</c:formatCode>
                <c:ptCount val="12"/>
                <c:pt idx="0">
                  <c:v>364558.47868440009</c:v>
                </c:pt>
                <c:pt idx="1">
                  <c:v>373672.44065151003</c:v>
                </c:pt>
                <c:pt idx="2">
                  <c:v>383014.2516677978</c:v>
                </c:pt>
                <c:pt idx="3">
                  <c:v>392589.60795949271</c:v>
                </c:pt>
                <c:pt idx="4">
                  <c:v>402404.34815848002</c:v>
                </c:pt>
                <c:pt idx="5">
                  <c:v>412464.45686244214</c:v>
                </c:pt>
                <c:pt idx="6">
                  <c:v>422776.06828400318</c:v>
                </c:pt>
                <c:pt idx="7">
                  <c:v>433345.46999110316</c:v>
                </c:pt>
                <c:pt idx="8">
                  <c:v>444179.10674088087</c:v>
                </c:pt>
                <c:pt idx="9">
                  <c:v>455283.58440940292</c:v>
                </c:pt>
                <c:pt idx="10">
                  <c:v>466665.67401963798</c:v>
                </c:pt>
                <c:pt idx="11">
                  <c:v>478332.31587012898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C-4929-89A1-43EF7E62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82464"/>
        <c:axId val="109984000"/>
      </c:lineChart>
      <c:catAx>
        <c:axId val="10998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84000"/>
        <c:crosses val="autoZero"/>
        <c:auto val="1"/>
        <c:lblAlgn val="ctr"/>
        <c:lblOffset val="100"/>
        <c:noMultiLvlLbl val="0"/>
      </c:catAx>
      <c:valAx>
        <c:axId val="1099840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998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Relationship Id="rId1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BaseCase!A1"/><Relationship Id="rId13" Type="http://schemas.openxmlformats.org/officeDocument/2006/relationships/hyperlink" Target="#'Loan$'!A1"/><Relationship Id="rId3" Type="http://schemas.openxmlformats.org/officeDocument/2006/relationships/chart" Target="../charts/chart4.xml"/><Relationship Id="rId7" Type="http://schemas.openxmlformats.org/officeDocument/2006/relationships/hyperlink" Target="#CaPex!A1"/><Relationship Id="rId12" Type="http://schemas.openxmlformats.org/officeDocument/2006/relationships/hyperlink" Target="#Budget!A1"/><Relationship Id="rId17" Type="http://schemas.openxmlformats.org/officeDocument/2006/relationships/hyperlink" Target="#'GANTT Chart'!A1"/><Relationship Id="rId2" Type="http://schemas.openxmlformats.org/officeDocument/2006/relationships/chart" Target="../charts/chart3.xml"/><Relationship Id="rId16" Type="http://schemas.openxmlformats.org/officeDocument/2006/relationships/hyperlink" Target="#RESULTS!A1"/><Relationship Id="rId1" Type="http://schemas.openxmlformats.org/officeDocument/2006/relationships/chart" Target="../charts/chart2.xml"/><Relationship Id="rId6" Type="http://schemas.openxmlformats.org/officeDocument/2006/relationships/hyperlink" Target="#'&#928;&#913;&#929;&#913;&#916;&#927;&#935;&#917;&#931; '!A1"/><Relationship Id="rId11" Type="http://schemas.openxmlformats.org/officeDocument/2006/relationships/hyperlink" Target="#&#917;&#926;&#927;&#916;&#913;!A1"/><Relationship Id="rId5" Type="http://schemas.openxmlformats.org/officeDocument/2006/relationships/hyperlink" Target="#'Data Input'!A1"/><Relationship Id="rId15" Type="http://schemas.openxmlformats.org/officeDocument/2006/relationships/hyperlink" Target="#FCF!A1"/><Relationship Id="rId10" Type="http://schemas.openxmlformats.org/officeDocument/2006/relationships/hyperlink" Target="#FINANCIAL!A1"/><Relationship Id="rId4" Type="http://schemas.openxmlformats.org/officeDocument/2006/relationships/chart" Target="../charts/chart5.xml"/><Relationship Id="rId9" Type="http://schemas.openxmlformats.org/officeDocument/2006/relationships/hyperlink" Target="#Home!A1"/><Relationship Id="rId14" Type="http://schemas.openxmlformats.org/officeDocument/2006/relationships/hyperlink" Target="#IncomeSt.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917;&#926;&#927;&#916;&#913;!A1"/><Relationship Id="rId13" Type="http://schemas.openxmlformats.org/officeDocument/2006/relationships/hyperlink" Target="#RESULTS!A1"/><Relationship Id="rId3" Type="http://schemas.openxmlformats.org/officeDocument/2006/relationships/hyperlink" Target="#'&#928;&#913;&#929;&#913;&#916;&#927;&#935;&#917;&#931; '!A1"/><Relationship Id="rId7" Type="http://schemas.openxmlformats.org/officeDocument/2006/relationships/hyperlink" Target="#FINANCIAL!A1"/><Relationship Id="rId12" Type="http://schemas.openxmlformats.org/officeDocument/2006/relationships/hyperlink" Target="#FCF!A1"/><Relationship Id="rId2" Type="http://schemas.openxmlformats.org/officeDocument/2006/relationships/hyperlink" Target="#'Data Input'!A1"/><Relationship Id="rId1" Type="http://schemas.openxmlformats.org/officeDocument/2006/relationships/chart" Target="../charts/chart1.xml"/><Relationship Id="rId6" Type="http://schemas.openxmlformats.org/officeDocument/2006/relationships/hyperlink" Target="#Home!A1"/><Relationship Id="rId11" Type="http://schemas.openxmlformats.org/officeDocument/2006/relationships/hyperlink" Target="#IncomeSt.!A1"/><Relationship Id="rId5" Type="http://schemas.openxmlformats.org/officeDocument/2006/relationships/hyperlink" Target="#BaseCase!A1"/><Relationship Id="rId10" Type="http://schemas.openxmlformats.org/officeDocument/2006/relationships/hyperlink" Target="#'Loan$'!A1"/><Relationship Id="rId4" Type="http://schemas.openxmlformats.org/officeDocument/2006/relationships/hyperlink" Target="#CaPex!A1"/><Relationship Id="rId9" Type="http://schemas.openxmlformats.org/officeDocument/2006/relationships/hyperlink" Target="#Budget!A1"/><Relationship Id="rId14" Type="http://schemas.openxmlformats.org/officeDocument/2006/relationships/hyperlink" Target="#'GANTT Chart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190499</xdr:rowOff>
    </xdr:from>
    <xdr:to>
      <xdr:col>0</xdr:col>
      <xdr:colOff>1934632</xdr:colOff>
      <xdr:row>27</xdr:row>
      <xdr:rowOff>10582</xdr:rowOff>
    </xdr:to>
    <xdr:grpSp>
      <xdr:nvGrpSpPr>
        <xdr:cNvPr id="3" name="Ομάδα 2"/>
        <xdr:cNvGrpSpPr/>
      </xdr:nvGrpSpPr>
      <xdr:grpSpPr>
        <a:xfrm>
          <a:off x="50799" y="190499"/>
          <a:ext cx="1883833" cy="5143500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42" name="Στρογγυλεμένο ορθογώνιο 4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43" name="Στρογγυλεμένο ορθογώνιο 4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44" name="Στρογγυλεμένο ορθογώνιο 4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45" name="Στρογγυλεμένο ορθογώνιο 4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 ΣΕΛΙΔΑ</a:t>
            </a:r>
          </a:p>
        </xdr:txBody>
      </xdr:sp>
      <xdr:sp macro="" textlink="">
        <xdr:nvSpPr>
          <xdr:cNvPr id="53" name="Στρογγυλεμένο ορθογώνιο 5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ΧΡΗΜ/ΜΙΚΗ</a:t>
            </a:r>
            <a:r>
              <a:rPr lang="el-GR" sz="800" b="1" baseline="0"/>
              <a:t> </a:t>
            </a:r>
            <a:r>
              <a:rPr lang="el-GR" sz="1050" b="1" baseline="0"/>
              <a:t>ΑΝΑΛΥΣΗ</a:t>
            </a:r>
            <a:endParaRPr lang="el-GR" sz="1050" b="1"/>
          </a:p>
        </xdr:txBody>
      </xdr:sp>
      <xdr:sp macro="" textlink="">
        <xdr:nvSpPr>
          <xdr:cNvPr id="55" name="Στρογγυλεμένο ορθογώνιο 54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56" name="Στρογγυλεμένο ορθογώνιο 55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ΠΡΟΥΠΟΛΟΓΙΣΜΟΣ</a:t>
            </a:r>
          </a:p>
        </xdr:txBody>
      </xdr:sp>
      <xdr:sp macro="" textlink="">
        <xdr:nvSpPr>
          <xdr:cNvPr id="57" name="Στρογγυλεμένο ορθογώνιο 56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58" name="Στρογγυλεμένο ορθογώνιο 57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59" name="Στρογγυλεμένο ορθογώνιο 58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60" name="Στρογγυλεμένο ορθογώνιο 59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61" name="Στρογγυλεμένο ορθογώνιο 60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  <xdr:twoCellAnchor editAs="oneCell">
    <xdr:from>
      <xdr:col>1</xdr:col>
      <xdr:colOff>95281</xdr:colOff>
      <xdr:row>15</xdr:row>
      <xdr:rowOff>148180</xdr:rowOff>
    </xdr:from>
    <xdr:to>
      <xdr:col>5</xdr:col>
      <xdr:colOff>550490</xdr:colOff>
      <xdr:row>24</xdr:row>
      <xdr:rowOff>149227</xdr:rowOff>
    </xdr:to>
    <xdr:pic>
      <xdr:nvPicPr>
        <xdr:cNvPr id="16" name="Εικόνα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74364" y="3143263"/>
          <a:ext cx="3407959" cy="1736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179917</xdr:rowOff>
    </xdr:from>
    <xdr:to>
      <xdr:col>0</xdr:col>
      <xdr:colOff>1936748</xdr:colOff>
      <xdr:row>25</xdr:row>
      <xdr:rowOff>144305</xdr:rowOff>
    </xdr:to>
    <xdr:grpSp>
      <xdr:nvGrpSpPr>
        <xdr:cNvPr id="2" name="Ομάδα 1"/>
        <xdr:cNvGrpSpPr/>
      </xdr:nvGrpSpPr>
      <xdr:grpSpPr>
        <a:xfrm>
          <a:off x="73846" y="179917"/>
          <a:ext cx="1862902" cy="4746941"/>
          <a:chOff x="40216" y="76200"/>
          <a:chExt cx="1883833" cy="445029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20</xdr:row>
      <xdr:rowOff>137584</xdr:rowOff>
    </xdr:to>
    <xdr:grpSp>
      <xdr:nvGrpSpPr>
        <xdr:cNvPr id="2" name="Ομάδα 1"/>
        <xdr:cNvGrpSpPr/>
      </xdr:nvGrpSpPr>
      <xdr:grpSpPr>
        <a:xfrm>
          <a:off x="52915" y="179917"/>
          <a:ext cx="1883833" cy="5119602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38101</xdr:colOff>
      <xdr:row>0</xdr:row>
      <xdr:rowOff>158750</xdr:rowOff>
    </xdr:from>
    <xdr:to>
      <xdr:col>19</xdr:col>
      <xdr:colOff>328083</xdr:colOff>
      <xdr:row>12</xdr:row>
      <xdr:rowOff>158750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83610</xdr:colOff>
      <xdr:row>12</xdr:row>
      <xdr:rowOff>199496</xdr:rowOff>
    </xdr:from>
    <xdr:to>
      <xdr:col>12</xdr:col>
      <xdr:colOff>10583</xdr:colOff>
      <xdr:row>27</xdr:row>
      <xdr:rowOff>74613</xdr:rowOff>
    </xdr:to>
    <xdr:graphicFrame macro="">
      <xdr:nvGraphicFramePr>
        <xdr:cNvPr id="4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43391</xdr:colOff>
      <xdr:row>12</xdr:row>
      <xdr:rowOff>189969</xdr:rowOff>
    </xdr:from>
    <xdr:to>
      <xdr:col>19</xdr:col>
      <xdr:colOff>348191</xdr:colOff>
      <xdr:row>27</xdr:row>
      <xdr:rowOff>65086</xdr:rowOff>
    </xdr:to>
    <xdr:graphicFrame macro="">
      <xdr:nvGraphicFramePr>
        <xdr:cNvPr id="5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89957</xdr:colOff>
      <xdr:row>0</xdr:row>
      <xdr:rowOff>148166</xdr:rowOff>
    </xdr:from>
    <xdr:to>
      <xdr:col>12</xdr:col>
      <xdr:colOff>21166</xdr:colOff>
      <xdr:row>12</xdr:row>
      <xdr:rowOff>158750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52915</xdr:colOff>
      <xdr:row>0</xdr:row>
      <xdr:rowOff>179917</xdr:rowOff>
    </xdr:from>
    <xdr:to>
      <xdr:col>0</xdr:col>
      <xdr:colOff>1936748</xdr:colOff>
      <xdr:row>26</xdr:row>
      <xdr:rowOff>127000</xdr:rowOff>
    </xdr:to>
    <xdr:grpSp>
      <xdr:nvGrpSpPr>
        <xdr:cNvPr id="21" name="Ομάδα 20"/>
        <xdr:cNvGrpSpPr/>
      </xdr:nvGrpSpPr>
      <xdr:grpSpPr>
        <a:xfrm>
          <a:off x="52915" y="179917"/>
          <a:ext cx="1883833" cy="5121157"/>
          <a:chOff x="19050" y="76200"/>
          <a:chExt cx="1904999" cy="4799542"/>
        </a:xfrm>
      </xdr:grpSpPr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32" name="Στρογγυλεμένο ορθογώνιο 31">
            <a:hlinkClick xmlns:r="http://schemas.openxmlformats.org/officeDocument/2006/relationships" r:id="rId15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3" name="Στρογγυλεμένο ορθογώνιο 32">
            <a:hlinkClick xmlns:r="http://schemas.openxmlformats.org/officeDocument/2006/relationships" r:id="rId16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4" name="Στρογγυλεμένο ορθογώνιο 33">
            <a:hlinkClick xmlns:r="http://schemas.openxmlformats.org/officeDocument/2006/relationships" r:id="rId17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0</xdr:row>
      <xdr:rowOff>190502</xdr:rowOff>
    </xdr:from>
    <xdr:to>
      <xdr:col>0</xdr:col>
      <xdr:colOff>1936750</xdr:colOff>
      <xdr:row>26</xdr:row>
      <xdr:rowOff>158752</xdr:rowOff>
    </xdr:to>
    <xdr:grpSp>
      <xdr:nvGrpSpPr>
        <xdr:cNvPr id="60" name="Ομάδα 59"/>
        <xdr:cNvGrpSpPr/>
      </xdr:nvGrpSpPr>
      <xdr:grpSpPr>
        <a:xfrm>
          <a:off x="52917" y="190502"/>
          <a:ext cx="1883833" cy="5037667"/>
          <a:chOff x="19050" y="76200"/>
          <a:chExt cx="1904999" cy="4799542"/>
        </a:xfrm>
      </xdr:grpSpPr>
      <xdr:sp macro="" textlink="">
        <xdr:nvSpPr>
          <xdr:cNvPr id="61" name="Στρογγυλεμένο ορθογώνιο 60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62" name="Στρογγυλεμένο ορθογώνιο 6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63" name="Στρογγυλεμένο ορθογώνιο 6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64" name="Στρογγυλεμένο ορθογώνιο 6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65" name="Στρογγυλεμένο ορθογώνιο 6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</a:t>
            </a:r>
            <a:r>
              <a:rPr lang="el-GR" sz="1100" b="1" baseline="0"/>
              <a:t> ΣΕΛΙΔΑ</a:t>
            </a:r>
            <a:endParaRPr lang="el-GR" sz="1100" b="1"/>
          </a:p>
        </xdr:txBody>
      </xdr:sp>
      <xdr:sp macro="" textlink="">
        <xdr:nvSpPr>
          <xdr:cNvPr id="66" name="Στρογγυλεμένο ορθογώνιο 65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effectLst/>
            </a:endParaRPr>
          </a:p>
        </xdr:txBody>
      </xdr:sp>
      <xdr:sp macro="" textlink="">
        <xdr:nvSpPr>
          <xdr:cNvPr id="67" name="Στρογγυλεμένο ορθογώνιο 66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68" name="Στρογγυλεμένο ορθογώνιο 67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ΠΡΟΥΠΟΛΟΓΙΣΜΟΣ</a:t>
            </a:r>
          </a:p>
        </xdr:txBody>
      </xdr:sp>
      <xdr:sp macro="" textlink="">
        <xdr:nvSpPr>
          <xdr:cNvPr id="69" name="Στρογγυλεμένο ορθογώνιο 68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70" name="Στρογγυλεμένο ορθογώνιο 69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71" name="Στρογγυλεμένο ορθογώνιο 70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72" name="Στρογγυλεμένο ορθογώνιο 71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73" name="Στρογγυλεμένο ορθογώνιο 72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26</xdr:row>
      <xdr:rowOff>10583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261493"/>
          <a:chOff x="19050" y="76200"/>
          <a:chExt cx="1904999" cy="4799542"/>
        </a:xfrm>
        <a:solidFill>
          <a:schemeClr val="bg1">
            <a:lumMod val="50000"/>
          </a:schemeClr>
        </a:solidFill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38107</xdr:rowOff>
    </xdr:from>
    <xdr:to>
      <xdr:col>12</xdr:col>
      <xdr:colOff>819149</xdr:colOff>
      <xdr:row>20</xdr:row>
      <xdr:rowOff>133350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190500</xdr:rowOff>
    </xdr:from>
    <xdr:to>
      <xdr:col>0</xdr:col>
      <xdr:colOff>1936748</xdr:colOff>
      <xdr:row>25</xdr:row>
      <xdr:rowOff>179917</xdr:rowOff>
    </xdr:to>
    <xdr:grpSp>
      <xdr:nvGrpSpPr>
        <xdr:cNvPr id="18" name="Ομάδα 17"/>
        <xdr:cNvGrpSpPr/>
      </xdr:nvGrpSpPr>
      <xdr:grpSpPr>
        <a:xfrm>
          <a:off x="52915" y="190500"/>
          <a:ext cx="1883833" cy="5001948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ΣΥΓΚΕΝΤΡΩΤΙΚΑ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26</xdr:row>
      <xdr:rowOff>137583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094636"/>
          <a:chOff x="19050" y="76200"/>
          <a:chExt cx="1904999" cy="479954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</a:t>
            </a: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190500</xdr:rowOff>
    </xdr:from>
    <xdr:to>
      <xdr:col>0</xdr:col>
      <xdr:colOff>1936748</xdr:colOff>
      <xdr:row>21</xdr:row>
      <xdr:rowOff>49740</xdr:rowOff>
    </xdr:to>
    <xdr:grpSp>
      <xdr:nvGrpSpPr>
        <xdr:cNvPr id="17" name="Ομάδα 16"/>
        <xdr:cNvGrpSpPr/>
      </xdr:nvGrpSpPr>
      <xdr:grpSpPr>
        <a:xfrm>
          <a:off x="73846" y="190500"/>
          <a:ext cx="1862902" cy="4328663"/>
          <a:chOff x="40216" y="76200"/>
          <a:chExt cx="1883833" cy="445029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solidFill>
                <a:schemeClr val="bg1"/>
              </a:solidFill>
              <a:effectLst/>
            </a:endParaRP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1</xdr:row>
      <xdr:rowOff>10583</xdr:rowOff>
    </xdr:from>
    <xdr:to>
      <xdr:col>0</xdr:col>
      <xdr:colOff>1936748</xdr:colOff>
      <xdr:row>30</xdr:row>
      <xdr:rowOff>151572</xdr:rowOff>
    </xdr:to>
    <xdr:grpSp>
      <xdr:nvGrpSpPr>
        <xdr:cNvPr id="2" name="Ομάδα 1"/>
        <xdr:cNvGrpSpPr/>
      </xdr:nvGrpSpPr>
      <xdr:grpSpPr>
        <a:xfrm>
          <a:off x="73846" y="176717"/>
          <a:ext cx="1862902" cy="4958867"/>
          <a:chOff x="40216" y="76200"/>
          <a:chExt cx="1883833" cy="445029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27</xdr:row>
      <xdr:rowOff>31750</xdr:rowOff>
    </xdr:to>
    <xdr:grpSp>
      <xdr:nvGrpSpPr>
        <xdr:cNvPr id="16" name="Ομάδα 15"/>
        <xdr:cNvGrpSpPr/>
      </xdr:nvGrpSpPr>
      <xdr:grpSpPr>
        <a:xfrm>
          <a:off x="52915" y="179917"/>
          <a:ext cx="1883833" cy="5338233"/>
          <a:chOff x="19050" y="76200"/>
          <a:chExt cx="1904999" cy="4799542"/>
        </a:xfrm>
      </xdr:grpSpPr>
      <xdr:sp macro="" textlink="">
        <xdr:nvSpPr>
          <xdr:cNvPr id="17" name="Στρογγυλεμένο ορθογώνιο 16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8" name="Στρογγυλεμένο ορθογώνιο 17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27</xdr:row>
      <xdr:rowOff>105834</xdr:rowOff>
    </xdr:to>
    <xdr:grpSp>
      <xdr:nvGrpSpPr>
        <xdr:cNvPr id="2" name="Ομάδα 1"/>
        <xdr:cNvGrpSpPr/>
      </xdr:nvGrpSpPr>
      <xdr:grpSpPr>
        <a:xfrm>
          <a:off x="52915" y="179917"/>
          <a:ext cx="1883833" cy="5174800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tabColor theme="4"/>
  </sheetPr>
  <dimension ref="A1:AJ75"/>
  <sheetViews>
    <sheetView tabSelected="1" zoomScale="90" zoomScaleNormal="90" workbookViewId="0">
      <selection activeCell="E15" sqref="E15"/>
    </sheetView>
  </sheetViews>
  <sheetFormatPr defaultRowHeight="15" x14ac:dyDescent="0.25"/>
  <cols>
    <col min="1" max="1" width="29.7109375" style="2" customWidth="1"/>
    <col min="2" max="2" width="16.140625" style="2" customWidth="1"/>
    <col min="3" max="4" width="9.140625" style="2"/>
    <col min="5" max="5" width="9.7109375" style="2" customWidth="1"/>
    <col min="6" max="6" width="9.140625" style="2" customWidth="1"/>
    <col min="7" max="7" width="10" style="2" customWidth="1"/>
    <col min="8" max="9" width="9.140625" style="2"/>
    <col min="10" max="10" width="6.85546875" style="2" customWidth="1"/>
    <col min="11" max="12" width="3.85546875" style="2" customWidth="1"/>
    <col min="13" max="20" width="9.140625" style="2"/>
    <col min="21" max="36" width="9.140625" style="3"/>
    <col min="37" max="16384" width="9.140625" style="2"/>
  </cols>
  <sheetData>
    <row r="1" spans="1:2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 customHeight="1" thickTop="1" x14ac:dyDescent="0.25">
      <c r="A2" s="3"/>
      <c r="B2" s="52"/>
      <c r="C2" s="53"/>
      <c r="D2" s="53"/>
      <c r="E2" s="53"/>
      <c r="F2" s="53"/>
      <c r="G2" s="53"/>
      <c r="H2" s="53"/>
      <c r="I2" s="53"/>
      <c r="J2" s="54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55"/>
      <c r="C3" s="56"/>
      <c r="D3" s="56"/>
      <c r="E3" s="56"/>
      <c r="F3" s="56"/>
      <c r="G3" s="56"/>
      <c r="H3" s="56"/>
      <c r="I3" s="56"/>
      <c r="J3" s="5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58"/>
      <c r="C4" s="59"/>
      <c r="D4" s="59"/>
      <c r="E4" s="59"/>
      <c r="F4" s="60">
        <v>2012</v>
      </c>
      <c r="G4" s="59"/>
      <c r="H4" s="59"/>
      <c r="I4" s="59"/>
      <c r="J4" s="61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25"/>
      <c r="C5" s="62"/>
      <c r="D5" s="63"/>
      <c r="E5" s="63"/>
      <c r="F5" s="64"/>
      <c r="G5" s="59"/>
      <c r="H5" s="65"/>
      <c r="I5" s="65"/>
      <c r="J5" s="66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1" x14ac:dyDescent="0.25">
      <c r="A6" s="3"/>
      <c r="B6" s="67"/>
      <c r="C6" s="513" t="s">
        <v>334</v>
      </c>
      <c r="D6" s="513"/>
      <c r="E6" s="513"/>
      <c r="F6" s="513"/>
      <c r="G6" s="513"/>
      <c r="H6" s="513"/>
      <c r="I6" s="68"/>
      <c r="J6" s="5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25"/>
      <c r="C7" s="515"/>
      <c r="D7" s="515"/>
      <c r="E7" s="515"/>
      <c r="F7" s="515"/>
      <c r="G7" s="515"/>
      <c r="H7" s="69"/>
      <c r="I7" s="70"/>
      <c r="J7" s="71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customHeight="1" x14ac:dyDescent="0.25">
      <c r="A8" s="3"/>
      <c r="B8" s="72"/>
      <c r="C8" s="513" t="s">
        <v>157</v>
      </c>
      <c r="D8" s="513"/>
      <c r="E8" s="513"/>
      <c r="F8" s="513"/>
      <c r="G8" s="513"/>
      <c r="H8" s="513"/>
      <c r="I8" s="513"/>
      <c r="J8" s="7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3"/>
      <c r="B9" s="74"/>
      <c r="C9" s="513"/>
      <c r="D9" s="513"/>
      <c r="E9" s="513"/>
      <c r="F9" s="513"/>
      <c r="G9" s="513"/>
      <c r="H9" s="513"/>
      <c r="I9" s="513"/>
      <c r="J9" s="75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3"/>
      <c r="B10" s="74"/>
      <c r="C10" s="513"/>
      <c r="D10" s="513"/>
      <c r="E10" s="513"/>
      <c r="F10" s="513"/>
      <c r="G10" s="513"/>
      <c r="H10" s="513"/>
      <c r="I10" s="513"/>
      <c r="J10" s="7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 x14ac:dyDescent="0.25">
      <c r="A11" s="3"/>
      <c r="B11" s="74"/>
      <c r="C11" s="513"/>
      <c r="D11" s="513"/>
      <c r="E11" s="513"/>
      <c r="F11" s="513"/>
      <c r="G11" s="513"/>
      <c r="H11" s="513"/>
      <c r="I11" s="513"/>
      <c r="J11" s="7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25" customHeight="1" x14ac:dyDescent="0.25">
      <c r="A12" s="3"/>
      <c r="B12" s="74"/>
      <c r="C12" s="69"/>
      <c r="D12" s="69"/>
      <c r="E12" s="69"/>
      <c r="F12" s="69"/>
      <c r="G12" s="69"/>
      <c r="H12" s="69"/>
      <c r="I12" s="69"/>
      <c r="J12" s="75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74"/>
      <c r="C13" s="514" t="s">
        <v>335</v>
      </c>
      <c r="D13" s="514"/>
      <c r="E13" s="514"/>
      <c r="F13" s="514"/>
      <c r="G13" s="514"/>
      <c r="H13" s="514"/>
      <c r="I13" s="514"/>
      <c r="J13" s="75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74"/>
      <c r="C14" s="69"/>
      <c r="D14" s="69"/>
      <c r="E14" s="69"/>
      <c r="F14" s="69"/>
      <c r="G14" s="69"/>
      <c r="H14" s="69"/>
      <c r="I14" s="69"/>
      <c r="J14" s="75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74"/>
      <c r="C15" s="69"/>
      <c r="D15" s="69"/>
      <c r="E15" s="69"/>
      <c r="F15" s="69"/>
      <c r="G15" s="69"/>
      <c r="H15" s="69"/>
      <c r="I15" s="69"/>
      <c r="J15" s="75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74"/>
      <c r="C16" s="69"/>
      <c r="D16" s="69"/>
      <c r="E16" s="69"/>
      <c r="F16" s="69"/>
      <c r="G16" s="69"/>
      <c r="H16" s="69"/>
      <c r="I16" s="69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74"/>
      <c r="C17" s="69"/>
      <c r="D17" s="69"/>
      <c r="E17" s="69"/>
      <c r="F17" s="69"/>
      <c r="G17" s="69"/>
      <c r="H17" s="69"/>
      <c r="I17" s="69"/>
      <c r="J17" s="75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74"/>
      <c r="C18" s="69"/>
      <c r="D18" s="69"/>
      <c r="E18" s="69"/>
      <c r="F18" s="69"/>
      <c r="G18" s="69"/>
      <c r="H18" s="69"/>
      <c r="I18" s="69"/>
      <c r="J18" s="75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74"/>
      <c r="C19" s="69"/>
      <c r="D19" s="69"/>
      <c r="E19" s="69"/>
      <c r="F19" s="69"/>
      <c r="G19" s="69"/>
      <c r="H19" s="69"/>
      <c r="I19" s="69"/>
      <c r="J19" s="75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" customHeight="1" x14ac:dyDescent="0.25">
      <c r="A20" s="3"/>
      <c r="B20" s="74"/>
      <c r="C20" s="69"/>
      <c r="D20" s="514"/>
      <c r="E20" s="514"/>
      <c r="F20" s="514"/>
      <c r="G20" s="514"/>
      <c r="H20" s="69"/>
      <c r="I20" s="69"/>
      <c r="J20" s="75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74"/>
      <c r="C21" s="4"/>
      <c r="D21" s="514"/>
      <c r="E21" s="514"/>
      <c r="F21" s="514"/>
      <c r="G21" s="514"/>
      <c r="H21" s="4"/>
      <c r="I21" s="4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x14ac:dyDescent="0.25">
      <c r="A22" s="3"/>
      <c r="B22" s="76"/>
      <c r="C22" s="4"/>
      <c r="D22" s="77"/>
      <c r="E22" s="78"/>
      <c r="F22" s="4"/>
      <c r="G22" s="4"/>
      <c r="H22" s="4"/>
      <c r="I22" s="4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.75" x14ac:dyDescent="0.25">
      <c r="A23" s="3"/>
      <c r="B23" s="79"/>
      <c r="C23" s="80"/>
      <c r="D23" s="81"/>
      <c r="E23" s="78"/>
      <c r="F23" s="4"/>
      <c r="G23" s="4"/>
      <c r="H23" s="4"/>
      <c r="I23" s="4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74"/>
      <c r="C24" s="4"/>
      <c r="D24" s="4"/>
      <c r="E24" s="4"/>
      <c r="F24" s="4"/>
      <c r="G24" s="4"/>
      <c r="H24" s="4"/>
      <c r="I24" s="4"/>
      <c r="J24" s="5"/>
      <c r="K24" s="4"/>
      <c r="L24" s="3"/>
      <c r="M24" s="3"/>
      <c r="N24" s="3"/>
      <c r="O24" s="3"/>
      <c r="P24" s="3"/>
      <c r="Q24" s="3"/>
      <c r="R24" s="3"/>
      <c r="S24" s="3"/>
      <c r="T24" s="3"/>
    </row>
    <row r="25" spans="1:20" ht="15.75" thickBot="1" x14ac:dyDescent="0.3">
      <c r="A25" s="3"/>
      <c r="B25" s="82"/>
      <c r="C25" s="83"/>
      <c r="D25" s="83"/>
      <c r="E25" s="83"/>
      <c r="F25" s="83"/>
      <c r="G25" s="83"/>
      <c r="H25" s="83"/>
      <c r="I25" s="83"/>
      <c r="J25" s="84"/>
      <c r="K25" s="4"/>
      <c r="L25" s="3"/>
      <c r="M25" s="3"/>
      <c r="N25" s="3"/>
      <c r="O25" s="3"/>
      <c r="P25" s="3"/>
      <c r="Q25" s="3"/>
      <c r="R25" s="3"/>
      <c r="S25" s="3"/>
      <c r="T25" s="3"/>
    </row>
    <row r="26" spans="1:20" ht="15.75" thickTop="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3" customFormat="1" x14ac:dyDescent="0.25"/>
    <row r="29" spans="1:20" s="3" customFormat="1" x14ac:dyDescent="0.25"/>
    <row r="30" spans="1:20" s="3" customFormat="1" x14ac:dyDescent="0.25"/>
    <row r="31" spans="1:20" s="3" customFormat="1" x14ac:dyDescent="0.25"/>
    <row r="32" spans="1:2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</sheetData>
  <mergeCells count="5">
    <mergeCell ref="C8:I11"/>
    <mergeCell ref="D20:G21"/>
    <mergeCell ref="C6:H6"/>
    <mergeCell ref="C7:G7"/>
    <mergeCell ref="C13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7">
    <tabColor theme="7"/>
  </sheetPr>
  <dimension ref="A1:AO81"/>
  <sheetViews>
    <sheetView zoomScale="94" zoomScaleNormal="94" workbookViewId="0">
      <selection activeCell="D5" sqref="D5"/>
    </sheetView>
  </sheetViews>
  <sheetFormatPr defaultRowHeight="15" x14ac:dyDescent="0.25"/>
  <cols>
    <col min="1" max="1" width="29.7109375" style="26" customWidth="1"/>
    <col min="2" max="2" width="37.42578125" style="26" customWidth="1"/>
    <col min="3" max="3" width="12" style="26" bestFit="1" customWidth="1"/>
    <col min="4" max="4" width="11.28515625" style="26" bestFit="1" customWidth="1"/>
    <col min="5" max="11" width="9.140625" style="26"/>
    <col min="12" max="13" width="8.7109375" style="26" bestFit="1" customWidth="1"/>
    <col min="14" max="15" width="8.7109375" style="26" customWidth="1"/>
    <col min="16" max="16384" width="9.140625" style="26"/>
  </cols>
  <sheetData>
    <row r="1" spans="1:4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x14ac:dyDescent="0.25">
      <c r="A2" s="3"/>
      <c r="B2" s="283" t="s">
        <v>223</v>
      </c>
      <c r="C2" s="284"/>
      <c r="D2" s="285">
        <v>1</v>
      </c>
      <c r="E2" s="285">
        <v>2</v>
      </c>
      <c r="F2" s="285">
        <v>3</v>
      </c>
      <c r="G2" s="285">
        <v>4</v>
      </c>
      <c r="H2" s="285">
        <v>5</v>
      </c>
      <c r="I2" s="285">
        <v>6</v>
      </c>
      <c r="J2" s="285">
        <v>7</v>
      </c>
      <c r="K2" s="285">
        <v>8</v>
      </c>
      <c r="L2" s="285">
        <v>9</v>
      </c>
      <c r="M2" s="285">
        <v>10</v>
      </c>
      <c r="N2" s="285">
        <v>11</v>
      </c>
      <c r="O2" s="286">
        <v>12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287" t="s">
        <v>40</v>
      </c>
      <c r="C3" s="288">
        <f>'ΚΟΣΤΟΣ ΕΠΕΝΔΥΣΗΣ'!E20</f>
        <v>1691835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8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x14ac:dyDescent="0.25">
      <c r="A4" s="3"/>
      <c r="B4" s="290" t="s">
        <v>224</v>
      </c>
      <c r="C4" s="291">
        <f>ΔΕΔΟΜΕΝΑ!D5</f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8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292" t="s">
        <v>41</v>
      </c>
      <c r="C5" s="293">
        <f>C3*C4</f>
        <v>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8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292" t="s">
        <v>42</v>
      </c>
      <c r="C6" s="294">
        <f>ΔΕΔΟΜΕΝΑ!E11</f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8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292" t="s">
        <v>43</v>
      </c>
      <c r="C7" s="294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8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292" t="s">
        <v>44</v>
      </c>
      <c r="C8" s="295">
        <f>ΔΕΔΟΜΕΝΑ!E13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8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292" t="s">
        <v>45</v>
      </c>
      <c r="C9" s="296">
        <f>C5*C7*C8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8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292" t="s">
        <v>46</v>
      </c>
      <c r="C10" s="296">
        <f>C5+C9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8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297" t="s">
        <v>47</v>
      </c>
      <c r="C11" s="298">
        <f>SUM(D11:M11)</f>
        <v>0</v>
      </c>
      <c r="D11" s="298">
        <f>IF(D2&lt;=$C$6,IPMT($C$8,D2,$C$6,$C$10,0),0)</f>
        <v>0</v>
      </c>
      <c r="E11" s="298">
        <f t="shared" ref="E11:O11" si="0">IF(E2&lt;=$C$6,IPMT($C$8,E2,$C$6,$C$10,0),0)</f>
        <v>0</v>
      </c>
      <c r="F11" s="298">
        <f t="shared" si="0"/>
        <v>0</v>
      </c>
      <c r="G11" s="298">
        <f t="shared" si="0"/>
        <v>0</v>
      </c>
      <c r="H11" s="298">
        <f t="shared" si="0"/>
        <v>0</v>
      </c>
      <c r="I11" s="298">
        <f t="shared" si="0"/>
        <v>0</v>
      </c>
      <c r="J11" s="298">
        <f t="shared" si="0"/>
        <v>0</v>
      </c>
      <c r="K11" s="298">
        <f t="shared" si="0"/>
        <v>0</v>
      </c>
      <c r="L11" s="298">
        <f t="shared" si="0"/>
        <v>0</v>
      </c>
      <c r="M11" s="298">
        <f t="shared" si="0"/>
        <v>0</v>
      </c>
      <c r="N11" s="298">
        <f t="shared" si="0"/>
        <v>0</v>
      </c>
      <c r="O11" s="299">
        <f t="shared" si="0"/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297" t="s">
        <v>48</v>
      </c>
      <c r="C12" s="298">
        <f>SUM(D12:M12)</f>
        <v>0</v>
      </c>
      <c r="D12" s="298">
        <f>D13-D11</f>
        <v>0</v>
      </c>
      <c r="E12" s="298">
        <f t="shared" ref="E12:O12" si="1">E13-E11</f>
        <v>0</v>
      </c>
      <c r="F12" s="298">
        <f t="shared" si="1"/>
        <v>0</v>
      </c>
      <c r="G12" s="298">
        <f t="shared" si="1"/>
        <v>0</v>
      </c>
      <c r="H12" s="298">
        <f t="shared" si="1"/>
        <v>0</v>
      </c>
      <c r="I12" s="298">
        <f t="shared" si="1"/>
        <v>0</v>
      </c>
      <c r="J12" s="298">
        <f t="shared" si="1"/>
        <v>0</v>
      </c>
      <c r="K12" s="298">
        <f t="shared" si="1"/>
        <v>0</v>
      </c>
      <c r="L12" s="298">
        <f t="shared" si="1"/>
        <v>0</v>
      </c>
      <c r="M12" s="298">
        <f t="shared" si="1"/>
        <v>0</v>
      </c>
      <c r="N12" s="298">
        <f t="shared" si="1"/>
        <v>0</v>
      </c>
      <c r="O12" s="299">
        <f t="shared" si="1"/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297" t="s">
        <v>49</v>
      </c>
      <c r="C13" s="298">
        <f>SUM(D13:M13)</f>
        <v>0</v>
      </c>
      <c r="D13" s="298">
        <f>IF(D2&lt;=$C$6,PMT($C$8,$C$6,$C$10,0,0),0)</f>
        <v>0</v>
      </c>
      <c r="E13" s="298">
        <f t="shared" ref="E13:O13" si="2">IF(E2&lt;=$C$6,PMT($C$8,$C$6,$C$10,0,0),0)</f>
        <v>0</v>
      </c>
      <c r="F13" s="298">
        <f t="shared" si="2"/>
        <v>0</v>
      </c>
      <c r="G13" s="298">
        <f t="shared" si="2"/>
        <v>0</v>
      </c>
      <c r="H13" s="298">
        <f t="shared" si="2"/>
        <v>0</v>
      </c>
      <c r="I13" s="298">
        <f t="shared" si="2"/>
        <v>0</v>
      </c>
      <c r="J13" s="298">
        <f t="shared" si="2"/>
        <v>0</v>
      </c>
      <c r="K13" s="298">
        <f t="shared" si="2"/>
        <v>0</v>
      </c>
      <c r="L13" s="298">
        <f t="shared" si="2"/>
        <v>0</v>
      </c>
      <c r="M13" s="298">
        <f t="shared" si="2"/>
        <v>0</v>
      </c>
      <c r="N13" s="298">
        <f t="shared" si="2"/>
        <v>0</v>
      </c>
      <c r="O13" s="299">
        <f t="shared" si="2"/>
        <v>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290" t="s">
        <v>225</v>
      </c>
      <c r="C14" s="291">
        <f>ΔΕΔΟΜΕΝΑ!D6</f>
        <v>0.3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8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292" t="s">
        <v>41</v>
      </c>
      <c r="C15" s="293">
        <f>C3*C14</f>
        <v>507550.5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8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292" t="s">
        <v>42</v>
      </c>
      <c r="C16" s="294">
        <f>ΔΕΔΟΜΕΝΑ!E12</f>
        <v>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8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292" t="s">
        <v>43</v>
      </c>
      <c r="C17" s="294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8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3"/>
      <c r="B18" s="292" t="s">
        <v>44</v>
      </c>
      <c r="C18" s="295">
        <f>ΔΕΔΟΜΕΝΑ!E10</f>
        <v>0.05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8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5">
      <c r="A19" s="3"/>
      <c r="B19" s="292" t="s">
        <v>45</v>
      </c>
      <c r="C19" s="296">
        <f>C18*C17*C15</f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8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292" t="s">
        <v>46</v>
      </c>
      <c r="C20" s="296">
        <f>C15+C19</f>
        <v>507550.5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8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297" t="s">
        <v>47</v>
      </c>
      <c r="C21" s="298">
        <f>SUM(D21:M21)</f>
        <v>-171573.81472940234</v>
      </c>
      <c r="D21" s="298">
        <f t="shared" ref="D21:O21" si="3">IF(D2&lt;=$C$16,IPMT($C$18,D2,$C$16,$C$20,0),0)</f>
        <v>-25377.525000000005</v>
      </c>
      <c r="E21" s="298">
        <f t="shared" si="3"/>
        <v>-23783.171586561515</v>
      </c>
      <c r="F21" s="298">
        <f t="shared" si="3"/>
        <v>-22109.1005024511</v>
      </c>
      <c r="G21" s="298">
        <f t="shared" si="3"/>
        <v>-20351.325864135157</v>
      </c>
      <c r="H21" s="298">
        <f t="shared" si="3"/>
        <v>-18505.662493903419</v>
      </c>
      <c r="I21" s="298">
        <f t="shared" si="3"/>
        <v>-16567.715955160096</v>
      </c>
      <c r="J21" s="298">
        <f t="shared" si="3"/>
        <v>-14532.872089479608</v>
      </c>
      <c r="K21" s="298">
        <f t="shared" si="3"/>
        <v>-12396.286030515095</v>
      </c>
      <c r="L21" s="298">
        <f t="shared" si="3"/>
        <v>-10152.870668602354</v>
      </c>
      <c r="M21" s="298">
        <f t="shared" si="3"/>
        <v>-7797.2845385939772</v>
      </c>
      <c r="N21" s="298">
        <f t="shared" si="3"/>
        <v>-5323.9191020851822</v>
      </c>
      <c r="O21" s="299">
        <f t="shared" si="3"/>
        <v>-2726.8853937509471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297" t="s">
        <v>48</v>
      </c>
      <c r="C22" s="298">
        <f t="shared" ref="C22:C23" si="4">SUM(D22:M22)</f>
        <v>-401072.1179582965</v>
      </c>
      <c r="D22" s="298">
        <f>D23-D21</f>
        <v>-31887.068268769875</v>
      </c>
      <c r="E22" s="298">
        <f t="shared" ref="E22" si="5">E23-E21</f>
        <v>-33481.421682208369</v>
      </c>
      <c r="F22" s="298">
        <f t="shared" ref="F22" si="6">F23-F21</f>
        <v>-35155.492766318785</v>
      </c>
      <c r="G22" s="298">
        <f t="shared" ref="G22" si="7">G23-G21</f>
        <v>-36913.267404634724</v>
      </c>
      <c r="H22" s="298">
        <f t="shared" ref="H22" si="8">H23-H21</f>
        <v>-38758.930774866458</v>
      </c>
      <c r="I22" s="298">
        <f t="shared" ref="I22" si="9">I23-I21</f>
        <v>-40696.877313609788</v>
      </c>
      <c r="J22" s="298">
        <f t="shared" ref="J22" si="10">J23-J21</f>
        <v>-42731.721179290274</v>
      </c>
      <c r="K22" s="298">
        <f t="shared" ref="K22" si="11">K23-K21</f>
        <v>-44868.307238254783</v>
      </c>
      <c r="L22" s="298">
        <f t="shared" ref="L22" si="12">L23-L21</f>
        <v>-47111.72260016753</v>
      </c>
      <c r="M22" s="298">
        <f t="shared" ref="M22:O22" si="13">M23-M21</f>
        <v>-49467.308730175901</v>
      </c>
      <c r="N22" s="298">
        <f t="shared" si="13"/>
        <v>-51940.674166684701</v>
      </c>
      <c r="O22" s="299">
        <f t="shared" si="13"/>
        <v>-54537.707875018932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297" t="s">
        <v>49</v>
      </c>
      <c r="C23" s="298">
        <f t="shared" si="4"/>
        <v>-572645.93268769898</v>
      </c>
      <c r="D23" s="298">
        <f>IF(D2&lt;=$C$16,PMT($C$18,$C$16,$C$20,0,0),0)</f>
        <v>-57264.593268769881</v>
      </c>
      <c r="E23" s="298">
        <f t="shared" ref="E23:O23" si="14">IF(E2&lt;=$C$16,PMT($C$18,$C$16,$C$20,0,0),0)</f>
        <v>-57264.593268769881</v>
      </c>
      <c r="F23" s="298">
        <f t="shared" si="14"/>
        <v>-57264.593268769881</v>
      </c>
      <c r="G23" s="298">
        <f t="shared" si="14"/>
        <v>-57264.593268769881</v>
      </c>
      <c r="H23" s="298">
        <f t="shared" si="14"/>
        <v>-57264.593268769881</v>
      </c>
      <c r="I23" s="298">
        <f t="shared" si="14"/>
        <v>-57264.593268769881</v>
      </c>
      <c r="J23" s="298">
        <f t="shared" si="14"/>
        <v>-57264.593268769881</v>
      </c>
      <c r="K23" s="298">
        <f t="shared" si="14"/>
        <v>-57264.593268769881</v>
      </c>
      <c r="L23" s="298">
        <f t="shared" si="14"/>
        <v>-57264.593268769881</v>
      </c>
      <c r="M23" s="298">
        <f t="shared" si="14"/>
        <v>-57264.593268769881</v>
      </c>
      <c r="N23" s="298">
        <f t="shared" si="14"/>
        <v>-57264.593268769881</v>
      </c>
      <c r="O23" s="299">
        <f t="shared" si="14"/>
        <v>-57264.593268769881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17.25" customHeight="1" x14ac:dyDescent="0.25">
      <c r="A24" s="3"/>
      <c r="B24" s="290" t="s">
        <v>60</v>
      </c>
      <c r="C24" s="291">
        <f>ΔΕΔΟΜΕΝΑ!D7</f>
        <v>0.7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8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15.75" thickBot="1" x14ac:dyDescent="0.3">
      <c r="A25" s="3"/>
      <c r="B25" s="300" t="s">
        <v>59</v>
      </c>
      <c r="C25" s="301">
        <f>C24*C3</f>
        <v>1184284.5</v>
      </c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4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4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4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4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4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4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4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4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H79"/>
  <sheetViews>
    <sheetView zoomScale="95" zoomScaleNormal="95" workbookViewId="0">
      <selection activeCell="K27" sqref="K27"/>
    </sheetView>
  </sheetViews>
  <sheetFormatPr defaultRowHeight="15" x14ac:dyDescent="0.25"/>
  <cols>
    <col min="1" max="1" width="29.7109375" style="26" customWidth="1"/>
    <col min="2" max="2" width="31" style="26" customWidth="1"/>
    <col min="3" max="14" width="11.28515625" style="26" customWidth="1"/>
    <col min="15" max="16384" width="9.140625" style="26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165" customFormat="1" x14ac:dyDescent="0.25">
      <c r="A2" s="4"/>
      <c r="B2" s="304" t="s">
        <v>95</v>
      </c>
      <c r="C2" s="305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4"/>
      <c r="B3" s="308" t="s">
        <v>20</v>
      </c>
      <c r="C3" s="309">
        <v>1</v>
      </c>
      <c r="D3" s="309">
        <v>2</v>
      </c>
      <c r="E3" s="309">
        <v>3</v>
      </c>
      <c r="F3" s="309">
        <v>4</v>
      </c>
      <c r="G3" s="309">
        <v>5</v>
      </c>
      <c r="H3" s="309">
        <v>6</v>
      </c>
      <c r="I3" s="309">
        <v>7</v>
      </c>
      <c r="J3" s="309">
        <v>8</v>
      </c>
      <c r="K3" s="309">
        <v>9</v>
      </c>
      <c r="L3" s="309">
        <v>10</v>
      </c>
      <c r="M3" s="309">
        <v>11</v>
      </c>
      <c r="N3" s="310">
        <v>12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4"/>
      <c r="B4" s="311" t="s">
        <v>82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3"/>
      <c r="N4" s="3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4"/>
      <c r="B5" s="315" t="s">
        <v>126</v>
      </c>
      <c r="C5" s="316">
        <f>'ΧΡΗΜ. ΑΝΑΛΥΣΗ'!F15</f>
        <v>364558.47868440009</v>
      </c>
      <c r="D5" s="316">
        <f>'ΧΡΗΜ. ΑΝΑΛΥΣΗ'!G15</f>
        <v>373672.44065151003</v>
      </c>
      <c r="E5" s="316">
        <f>'ΧΡΗΜ. ΑΝΑΛΥΣΗ'!H15</f>
        <v>383014.2516677978</v>
      </c>
      <c r="F5" s="316">
        <f>'ΧΡΗΜ. ΑΝΑΛΥΣΗ'!I15</f>
        <v>392589.60795949271</v>
      </c>
      <c r="G5" s="316">
        <f>'ΧΡΗΜ. ΑΝΑΛΥΣΗ'!J15</f>
        <v>402404.34815848002</v>
      </c>
      <c r="H5" s="316">
        <f>'ΧΡΗΜ. ΑΝΑΛΥΣΗ'!K15</f>
        <v>412464.45686244214</v>
      </c>
      <c r="I5" s="316">
        <f>'ΧΡΗΜ. ΑΝΑΛΥΣΗ'!L15</f>
        <v>422776.06828400318</v>
      </c>
      <c r="J5" s="316">
        <f>'ΧΡΗΜ. ΑΝΑΛΥΣΗ'!M15</f>
        <v>433345.46999110316</v>
      </c>
      <c r="K5" s="316">
        <f>'ΧΡΗΜ. ΑΝΑΛΥΣΗ'!N15</f>
        <v>444179.10674088087</v>
      </c>
      <c r="L5" s="316">
        <f>'ΧΡΗΜ. ΑΝΑΛΥΣΗ'!O15</f>
        <v>455283.58440940292</v>
      </c>
      <c r="M5" s="316">
        <f>'ΧΡΗΜ. ΑΝΑΛΥΣΗ'!P15</f>
        <v>466665.67401963798</v>
      </c>
      <c r="N5" s="317">
        <f>'ΧΡΗΜ. ΑΝΑΛΥΣΗ'!Q15</f>
        <v>478332.31587012898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4"/>
      <c r="B6" s="318" t="s">
        <v>83</v>
      </c>
      <c r="C6" s="319">
        <f>C5</f>
        <v>364558.47868440009</v>
      </c>
      <c r="D6" s="319">
        <f t="shared" ref="D6:N6" si="0">D5</f>
        <v>373672.44065151003</v>
      </c>
      <c r="E6" s="319">
        <f t="shared" si="0"/>
        <v>383014.2516677978</v>
      </c>
      <c r="F6" s="319">
        <f t="shared" si="0"/>
        <v>392589.60795949271</v>
      </c>
      <c r="G6" s="319">
        <f t="shared" si="0"/>
        <v>402404.34815848002</v>
      </c>
      <c r="H6" s="319">
        <f t="shared" si="0"/>
        <v>412464.45686244214</v>
      </c>
      <c r="I6" s="319">
        <f t="shared" si="0"/>
        <v>422776.06828400318</v>
      </c>
      <c r="J6" s="319">
        <f t="shared" si="0"/>
        <v>433345.46999110316</v>
      </c>
      <c r="K6" s="319">
        <f t="shared" si="0"/>
        <v>444179.10674088087</v>
      </c>
      <c r="L6" s="319">
        <f t="shared" si="0"/>
        <v>455283.58440940292</v>
      </c>
      <c r="M6" s="319">
        <f t="shared" si="0"/>
        <v>466665.67401963798</v>
      </c>
      <c r="N6" s="320">
        <f t="shared" si="0"/>
        <v>478332.31587012898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4"/>
      <c r="B7" s="315" t="s">
        <v>84</v>
      </c>
      <c r="C7" s="316">
        <f>-ΔΕΔΟΜΕΝΑ!$J17</f>
        <v>-12000</v>
      </c>
      <c r="D7" s="316">
        <f>-ΔΕΔΟΜΕΝΑ!$J17</f>
        <v>-12000</v>
      </c>
      <c r="E7" s="316">
        <f>-ΔΕΔΟΜΕΝΑ!$J17</f>
        <v>-12000</v>
      </c>
      <c r="F7" s="316">
        <f>-ΔΕΔΟΜΕΝΑ!$J17</f>
        <v>-12000</v>
      </c>
      <c r="G7" s="316">
        <f>-ΔΕΔΟΜΕΝΑ!$J17</f>
        <v>-12000</v>
      </c>
      <c r="H7" s="316">
        <f>-ΔΕΔΟΜΕΝΑ!$J17</f>
        <v>-12000</v>
      </c>
      <c r="I7" s="316">
        <f>-ΔΕΔΟΜΕΝΑ!$J17</f>
        <v>-12000</v>
      </c>
      <c r="J7" s="316">
        <f>-ΔΕΔΟΜΕΝΑ!$J17</f>
        <v>-12000</v>
      </c>
      <c r="K7" s="316">
        <f>-ΔΕΔΟΜΕΝΑ!$J17</f>
        <v>-12000</v>
      </c>
      <c r="L7" s="316">
        <f>-ΔΕΔΟΜΕΝΑ!$J17</f>
        <v>-12000</v>
      </c>
      <c r="M7" s="316">
        <f>-ΔΕΔΟΜΕΝΑ!$J17</f>
        <v>-12000</v>
      </c>
      <c r="N7" s="317">
        <f>-ΔΕΔΟΜΕΝΑ!$J17</f>
        <v>-12000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4"/>
      <c r="B8" s="318" t="s">
        <v>85</v>
      </c>
      <c r="C8" s="319">
        <f>C6+C7</f>
        <v>352558.47868440009</v>
      </c>
      <c r="D8" s="319">
        <f t="shared" ref="D8:N8" si="1">D6+D7</f>
        <v>361672.44065151003</v>
      </c>
      <c r="E8" s="319">
        <f t="shared" si="1"/>
        <v>371014.2516677978</v>
      </c>
      <c r="F8" s="319">
        <f t="shared" si="1"/>
        <v>380589.60795949271</v>
      </c>
      <c r="G8" s="319">
        <f t="shared" si="1"/>
        <v>390404.34815848002</v>
      </c>
      <c r="H8" s="319">
        <f t="shared" si="1"/>
        <v>400464.45686244214</v>
      </c>
      <c r="I8" s="319">
        <f t="shared" si="1"/>
        <v>410776.06828400318</v>
      </c>
      <c r="J8" s="319">
        <f t="shared" si="1"/>
        <v>421345.46999110316</v>
      </c>
      <c r="K8" s="319">
        <f t="shared" si="1"/>
        <v>432179.10674088087</v>
      </c>
      <c r="L8" s="319">
        <f t="shared" si="1"/>
        <v>443283.58440940292</v>
      </c>
      <c r="M8" s="319">
        <f t="shared" si="1"/>
        <v>454665.67401963798</v>
      </c>
      <c r="N8" s="320">
        <f t="shared" si="1"/>
        <v>466332.31587012898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4"/>
      <c r="B9" s="315" t="s">
        <v>86</v>
      </c>
      <c r="C9" s="316">
        <f>-ΔΕΔΟΜΕΝΑ!$J20-ΔΕΔΟΜΕΝΑ!J21</f>
        <v>-25662.5</v>
      </c>
      <c r="D9" s="316">
        <f>-ΔΕΔΟΜΕΝΑ!$J20-ΔΕΔΟΜΕΝΑ!K21</f>
        <v>-12000</v>
      </c>
      <c r="E9" s="316">
        <f>-ΔΕΔΟΜΕΝΑ!$J20-ΔΕΔΟΜΕΝΑ!L21</f>
        <v>-12000</v>
      </c>
      <c r="F9" s="316">
        <f>-ΔΕΔΟΜΕΝΑ!$J20-ΔΕΔΟΜΕΝΑ!M21</f>
        <v>-12000</v>
      </c>
      <c r="G9" s="316">
        <f>-ΔΕΔΟΜΕΝΑ!$J20-ΔΕΔΟΜΕΝΑ!N21</f>
        <v>-12000</v>
      </c>
      <c r="H9" s="316">
        <f>-ΔΕΔΟΜΕΝΑ!$J20-ΔΕΔΟΜΕΝΑ!O21</f>
        <v>-12000</v>
      </c>
      <c r="I9" s="316">
        <f>-ΔΕΔΟΜΕΝΑ!$J20-ΔΕΔΟΜΕΝΑ!P21</f>
        <v>-12000</v>
      </c>
      <c r="J9" s="316">
        <f>-ΔΕΔΟΜΕΝΑ!$J20-ΔΕΔΟΜΕΝΑ!Q21</f>
        <v>-12000</v>
      </c>
      <c r="K9" s="316">
        <f>-ΔΕΔΟΜΕΝΑ!$J20-ΔΕΔΟΜΕΝΑ!R21</f>
        <v>-12000</v>
      </c>
      <c r="L9" s="316">
        <f>-ΔΕΔΟΜΕΝΑ!$J20-ΔΕΔΟΜΕΝΑ!S21</f>
        <v>-12000</v>
      </c>
      <c r="M9" s="316">
        <f>-ΔΕΔΟΜΕΝΑ!$J20-ΔΕΔΟΜΕΝΑ!T21</f>
        <v>-12000</v>
      </c>
      <c r="N9" s="317">
        <f>-ΔΕΔΟΜΕΝΑ!$J20-ΔΕΔΟΜΕΝΑ!J21</f>
        <v>-25662.5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4"/>
      <c r="B10" s="315" t="s">
        <v>87</v>
      </c>
      <c r="C10" s="316">
        <v>0</v>
      </c>
      <c r="D10" s="316">
        <v>0</v>
      </c>
      <c r="E10" s="316">
        <v>0</v>
      </c>
      <c r="F10" s="316">
        <v>0</v>
      </c>
      <c r="G10" s="316">
        <v>0</v>
      </c>
      <c r="H10" s="316">
        <v>0</v>
      </c>
      <c r="I10" s="316">
        <v>0</v>
      </c>
      <c r="J10" s="316">
        <v>0</v>
      </c>
      <c r="K10" s="316">
        <v>0</v>
      </c>
      <c r="L10" s="316">
        <v>0</v>
      </c>
      <c r="M10" s="316">
        <v>0</v>
      </c>
      <c r="N10" s="317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4"/>
      <c r="B11" s="318" t="s">
        <v>88</v>
      </c>
      <c r="C11" s="319">
        <f>C8+C9</f>
        <v>326895.97868440009</v>
      </c>
      <c r="D11" s="319">
        <f t="shared" ref="D11:N11" si="2">D8+D9</f>
        <v>349672.44065151003</v>
      </c>
      <c r="E11" s="319">
        <f t="shared" si="2"/>
        <v>359014.2516677978</v>
      </c>
      <c r="F11" s="319">
        <f t="shared" si="2"/>
        <v>368589.60795949271</v>
      </c>
      <c r="G11" s="319">
        <f t="shared" si="2"/>
        <v>378404.34815848002</v>
      </c>
      <c r="H11" s="319">
        <f t="shared" si="2"/>
        <v>388464.45686244214</v>
      </c>
      <c r="I11" s="319">
        <f t="shared" si="2"/>
        <v>398776.06828400318</v>
      </c>
      <c r="J11" s="319">
        <f t="shared" si="2"/>
        <v>409345.46999110316</v>
      </c>
      <c r="K11" s="319">
        <f t="shared" si="2"/>
        <v>420179.10674088087</v>
      </c>
      <c r="L11" s="319">
        <f t="shared" si="2"/>
        <v>431283.58440940292</v>
      </c>
      <c r="M11" s="319">
        <f t="shared" si="2"/>
        <v>442665.67401963798</v>
      </c>
      <c r="N11" s="320">
        <f t="shared" si="2"/>
        <v>440669.81587012898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4"/>
      <c r="B12" s="315" t="s">
        <v>89</v>
      </c>
      <c r="C12" s="316">
        <f>(ΔΑΝΕΙΑ!D21+ΔΑΝΕΙΑ!D11)</f>
        <v>-25377.525000000005</v>
      </c>
      <c r="D12" s="316">
        <f>(ΔΑΝΕΙΑ!E21+ΔΑΝΕΙΑ!E11)</f>
        <v>-23783.171586561515</v>
      </c>
      <c r="E12" s="316">
        <f>(ΔΑΝΕΙΑ!F21+ΔΑΝΕΙΑ!F11)</f>
        <v>-22109.1005024511</v>
      </c>
      <c r="F12" s="316">
        <f>(ΔΑΝΕΙΑ!G21+ΔΑΝΕΙΑ!G11)</f>
        <v>-20351.325864135157</v>
      </c>
      <c r="G12" s="316">
        <f>(ΔΑΝΕΙΑ!H21+ΔΑΝΕΙΑ!H11)</f>
        <v>-18505.662493903419</v>
      </c>
      <c r="H12" s="316">
        <f>(ΔΑΝΕΙΑ!I21+ΔΑΝΕΙΑ!I11)</f>
        <v>-16567.715955160096</v>
      </c>
      <c r="I12" s="316">
        <f>(ΔΑΝΕΙΑ!J21+ΔΑΝΕΙΑ!J11)</f>
        <v>-14532.872089479608</v>
      </c>
      <c r="J12" s="316">
        <f>(ΔΑΝΕΙΑ!K21+ΔΑΝΕΙΑ!K11)</f>
        <v>-12396.286030515095</v>
      </c>
      <c r="K12" s="316">
        <f>(ΔΑΝΕΙΑ!L21+ΔΑΝΕΙΑ!L11)</f>
        <v>-10152.870668602354</v>
      </c>
      <c r="L12" s="316">
        <f>(ΔΑΝΕΙΑ!M21+ΔΑΝΕΙΑ!M11)</f>
        <v>-7797.2845385939772</v>
      </c>
      <c r="M12" s="316">
        <f>(ΔΑΝΕΙΑ!N21+ΔΑΝΕΙΑ!N11)</f>
        <v>-5323.9191020851822</v>
      </c>
      <c r="N12" s="317">
        <f>(ΔΑΝΕΙΑ!O21+ΔΑΝΕΙΑ!O11)</f>
        <v>-2726.8853937509471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4"/>
      <c r="B13" s="315" t="s">
        <v>90</v>
      </c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21"/>
      <c r="N13" s="32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4"/>
      <c r="B14" s="318" t="s">
        <v>91</v>
      </c>
      <c r="C14" s="319">
        <f>C11+C12</f>
        <v>301518.45368440007</v>
      </c>
      <c r="D14" s="319">
        <f t="shared" ref="D14:N14" si="3">D11+D12</f>
        <v>325889.26906494849</v>
      </c>
      <c r="E14" s="319">
        <f t="shared" si="3"/>
        <v>336905.15116534667</v>
      </c>
      <c r="F14" s="319">
        <f t="shared" si="3"/>
        <v>348238.28209535754</v>
      </c>
      <c r="G14" s="319">
        <f t="shared" si="3"/>
        <v>359898.68566457659</v>
      </c>
      <c r="H14" s="319">
        <f t="shared" si="3"/>
        <v>371896.74090728204</v>
      </c>
      <c r="I14" s="319">
        <f t="shared" si="3"/>
        <v>384243.1961945236</v>
      </c>
      <c r="J14" s="319">
        <f t="shared" si="3"/>
        <v>396949.18396058807</v>
      </c>
      <c r="K14" s="319">
        <f t="shared" si="3"/>
        <v>410026.23607227852</v>
      </c>
      <c r="L14" s="319">
        <f t="shared" si="3"/>
        <v>423486.29987080896</v>
      </c>
      <c r="M14" s="319">
        <f t="shared" si="3"/>
        <v>437341.75491755281</v>
      </c>
      <c r="N14" s="320">
        <f t="shared" si="3"/>
        <v>437942.93047637801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4"/>
      <c r="B15" s="323" t="s">
        <v>92</v>
      </c>
      <c r="C15" s="324">
        <f>C14/C5</f>
        <v>0.82707842860356551</v>
      </c>
      <c r="D15" s="324">
        <f t="shared" ref="D15:N15" si="4">D14/D5</f>
        <v>0.87212551318141085</v>
      </c>
      <c r="E15" s="324">
        <f t="shared" si="4"/>
        <v>0.87961518324272903</v>
      </c>
      <c r="F15" s="324">
        <f t="shared" si="4"/>
        <v>0.8870287828181348</v>
      </c>
      <c r="G15" s="324">
        <f t="shared" si="4"/>
        <v>0.89437076739249521</v>
      </c>
      <c r="H15" s="324">
        <f t="shared" si="4"/>
        <v>0.90164554719756251</v>
      </c>
      <c r="I15" s="324">
        <f t="shared" si="4"/>
        <v>0.90885748986247061</v>
      </c>
      <c r="J15" s="324">
        <f t="shared" si="4"/>
        <v>0.91601092303731169</v>
      </c>
      <c r="K15" s="324">
        <f t="shared" si="4"/>
        <v>0.92311013699136912</v>
      </c>
      <c r="L15" s="324">
        <f t="shared" si="4"/>
        <v>0.93015938718756663</v>
      </c>
      <c r="M15" s="324">
        <f t="shared" si="4"/>
        <v>0.9371628968346809</v>
      </c>
      <c r="N15" s="325">
        <f t="shared" si="4"/>
        <v>0.91556208089290581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4"/>
      <c r="B16" s="315" t="s">
        <v>93</v>
      </c>
      <c r="C16" s="316">
        <v>0</v>
      </c>
      <c r="D16" s="316">
        <v>0</v>
      </c>
      <c r="E16" s="316">
        <v>0</v>
      </c>
      <c r="F16" s="316">
        <v>0</v>
      </c>
      <c r="G16" s="316">
        <v>0</v>
      </c>
      <c r="H16" s="316">
        <v>0</v>
      </c>
      <c r="I16" s="316">
        <v>0</v>
      </c>
      <c r="J16" s="316">
        <v>0</v>
      </c>
      <c r="K16" s="316">
        <v>0</v>
      </c>
      <c r="L16" s="316">
        <v>0</v>
      </c>
      <c r="M16" s="316">
        <v>0</v>
      </c>
      <c r="N16" s="317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thickBot="1" x14ac:dyDescent="0.3">
      <c r="A17" s="4"/>
      <c r="B17" s="326" t="s">
        <v>94</v>
      </c>
      <c r="C17" s="327">
        <f>C14-C16</f>
        <v>301518.45368440007</v>
      </c>
      <c r="D17" s="327">
        <f t="shared" ref="D17:N17" si="5">D14-D16</f>
        <v>325889.26906494849</v>
      </c>
      <c r="E17" s="327">
        <f t="shared" si="5"/>
        <v>336905.15116534667</v>
      </c>
      <c r="F17" s="327">
        <f t="shared" si="5"/>
        <v>348238.28209535754</v>
      </c>
      <c r="G17" s="327">
        <f t="shared" si="5"/>
        <v>359898.68566457659</v>
      </c>
      <c r="H17" s="327">
        <f t="shared" si="5"/>
        <v>371896.74090728204</v>
      </c>
      <c r="I17" s="327">
        <f t="shared" si="5"/>
        <v>384243.1961945236</v>
      </c>
      <c r="J17" s="327">
        <f t="shared" si="5"/>
        <v>396949.18396058807</v>
      </c>
      <c r="K17" s="327">
        <f t="shared" si="5"/>
        <v>410026.23607227852</v>
      </c>
      <c r="L17" s="327">
        <f t="shared" si="5"/>
        <v>423486.29987080896</v>
      </c>
      <c r="M17" s="327">
        <f t="shared" si="5"/>
        <v>437341.75491755281</v>
      </c>
      <c r="N17" s="328">
        <f t="shared" si="5"/>
        <v>437942.93047637801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26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8">
    <tabColor theme="7"/>
  </sheetPr>
  <dimension ref="A1:AQ203"/>
  <sheetViews>
    <sheetView topLeftCell="A19" zoomScale="93" zoomScaleNormal="93" workbookViewId="0">
      <selection activeCell="O30" sqref="O30"/>
    </sheetView>
  </sheetViews>
  <sheetFormatPr defaultRowHeight="15" x14ac:dyDescent="0.25"/>
  <cols>
    <col min="1" max="1" width="29.7109375" style="3" customWidth="1"/>
    <col min="2" max="2" width="30.140625" style="26" customWidth="1"/>
    <col min="3" max="4" width="11.85546875" style="26" bestFit="1" customWidth="1"/>
    <col min="5" max="5" width="10.5703125" style="26" customWidth="1"/>
    <col min="6" max="8" width="9.85546875" style="26" bestFit="1" customWidth="1"/>
    <col min="9" max="9" width="10.5703125" style="26" customWidth="1"/>
    <col min="10" max="13" width="9.85546875" style="26" bestFit="1" customWidth="1"/>
    <col min="14" max="14" width="9.28515625" style="26" bestFit="1" customWidth="1"/>
    <col min="15" max="15" width="9.5703125" style="26" bestFit="1" customWidth="1"/>
    <col min="16" max="16" width="3.28515625" style="3" customWidth="1"/>
    <col min="17" max="43" width="9.140625" style="3"/>
    <col min="44" max="16384" width="9.140625" style="26"/>
  </cols>
  <sheetData>
    <row r="1" spans="2:15" s="3" customFormat="1" ht="15.75" thickBot="1" x14ac:dyDescent="0.3"/>
    <row r="2" spans="2:15" x14ac:dyDescent="0.25">
      <c r="B2" s="283" t="s">
        <v>77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329"/>
    </row>
    <row r="3" spans="2:15" x14ac:dyDescent="0.25">
      <c r="B3" s="330" t="s">
        <v>20</v>
      </c>
      <c r="C3" s="331">
        <v>0</v>
      </c>
      <c r="D3" s="332">
        <v>1</v>
      </c>
      <c r="E3" s="332">
        <v>2</v>
      </c>
      <c r="F3" s="332">
        <v>3</v>
      </c>
      <c r="G3" s="332">
        <v>4</v>
      </c>
      <c r="H3" s="332">
        <v>5</v>
      </c>
      <c r="I3" s="332">
        <v>6</v>
      </c>
      <c r="J3" s="332">
        <v>7</v>
      </c>
      <c r="K3" s="332">
        <v>8</v>
      </c>
      <c r="L3" s="332">
        <v>9</v>
      </c>
      <c r="M3" s="332">
        <v>10</v>
      </c>
      <c r="N3" s="332">
        <v>11</v>
      </c>
      <c r="O3" s="333">
        <v>12</v>
      </c>
    </row>
    <row r="4" spans="2:15" x14ac:dyDescent="0.25">
      <c r="B4" s="334" t="s">
        <v>21</v>
      </c>
      <c r="C4" s="335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65"/>
      <c r="O4" s="337"/>
    </row>
    <row r="5" spans="2:15" x14ac:dyDescent="0.25">
      <c r="B5" s="338" t="s">
        <v>137</v>
      </c>
      <c r="C5" s="339"/>
      <c r="D5" s="340">
        <f>'ΧΡΗΜ. ΑΝΑΛΥΣΗ'!F15</f>
        <v>364558.47868440009</v>
      </c>
      <c r="E5" s="340">
        <f>'ΧΡΗΜ. ΑΝΑΛΥΣΗ'!G15</f>
        <v>373672.44065151003</v>
      </c>
      <c r="F5" s="340">
        <f>'ΧΡΗΜ. ΑΝΑΛΥΣΗ'!H15</f>
        <v>383014.2516677978</v>
      </c>
      <c r="G5" s="340">
        <f>'ΧΡΗΜ. ΑΝΑΛΥΣΗ'!I15</f>
        <v>392589.60795949271</v>
      </c>
      <c r="H5" s="340">
        <f>'ΧΡΗΜ. ΑΝΑΛΥΣΗ'!J15</f>
        <v>402404.34815848002</v>
      </c>
      <c r="I5" s="340">
        <f>'ΧΡΗΜ. ΑΝΑΛΥΣΗ'!K15</f>
        <v>412464.45686244214</v>
      </c>
      <c r="J5" s="340">
        <f>'ΧΡΗΜ. ΑΝΑΛΥΣΗ'!L15</f>
        <v>422776.06828400318</v>
      </c>
      <c r="K5" s="340">
        <f>'ΧΡΗΜ. ΑΝΑΛΥΣΗ'!M15</f>
        <v>433345.46999110316</v>
      </c>
      <c r="L5" s="340">
        <f>'ΧΡΗΜ. ΑΝΑΛΥΣΗ'!N15</f>
        <v>444179.10674088087</v>
      </c>
      <c r="M5" s="340">
        <f>'ΧΡΗΜ. ΑΝΑΛΥΣΗ'!O15</f>
        <v>455283.58440940292</v>
      </c>
      <c r="N5" s="340">
        <f>'ΧΡΗΜ. ΑΝΑΛΥΣΗ'!P15</f>
        <v>466665.67401963798</v>
      </c>
      <c r="O5" s="341">
        <f>'ΧΡΗΜ. ΑΝΑΛΥΣΗ'!Q15</f>
        <v>478332.31587012898</v>
      </c>
    </row>
    <row r="6" spans="2:15" x14ac:dyDescent="0.25">
      <c r="B6" s="338" t="s">
        <v>61</v>
      </c>
      <c r="C6" s="339"/>
      <c r="D6" s="340">
        <f>'ΧΡΗΜ. ΑΝΑΛΥΣΗ'!F8+'ΧΡΗΜ. ΑΝΑΛΥΣΗ'!F10</f>
        <v>37662.5</v>
      </c>
      <c r="E6" s="340">
        <f>'ΧΡΗΜ. ΑΝΑΛΥΣΗ'!G8+'ΧΡΗΜ. ΑΝΑΛΥΣΗ'!G10</f>
        <v>38227.4375</v>
      </c>
      <c r="F6" s="340">
        <f>'ΧΡΗΜ. ΑΝΑΛΥΣΗ'!H8+'ΧΡΗΜ. ΑΝΑΛΥΣΗ'!H10</f>
        <v>38800.849062499998</v>
      </c>
      <c r="G6" s="340">
        <f>'ΧΡΗΜ. ΑΝΑΛΥΣΗ'!I8+'ΧΡΗΜ. ΑΝΑΛΥΣΗ'!I10</f>
        <v>39382.861798437501</v>
      </c>
      <c r="H6" s="340">
        <f>'ΧΡΗΜ. ΑΝΑΛΥΣΗ'!J8+'ΧΡΗΜ. ΑΝΑΛΥΣΗ'!J10</f>
        <v>39973.604725414065</v>
      </c>
      <c r="I6" s="340">
        <f>'ΧΡΗΜ. ΑΝΑΛΥΣΗ'!K8+'ΧΡΗΜ. ΑΝΑΛΥΣΗ'!K10</f>
        <v>40573.208796295279</v>
      </c>
      <c r="J6" s="340">
        <f>'ΧΡΗΜ. ΑΝΑΛΥΣΗ'!L8+'ΧΡΗΜ. ΑΝΑΛΥΣΗ'!L10</f>
        <v>41181.806928239705</v>
      </c>
      <c r="K6" s="340">
        <f>'ΧΡΗΜ. ΑΝΑΛΥΣΗ'!M8+'ΧΡΗΜ. ΑΝΑΛΥΣΗ'!M10</f>
        <v>41799.534032163298</v>
      </c>
      <c r="L6" s="340">
        <f>'ΧΡΗΜ. ΑΝΑΛΥΣΗ'!N8+'ΧΡΗΜ. ΑΝΑΛΥΣΗ'!N10</f>
        <v>42426.527042645743</v>
      </c>
      <c r="M6" s="340">
        <f>'ΧΡΗΜ. ΑΝΑΛΥΣΗ'!O8+'ΧΡΗΜ. ΑΝΑΛΥΣΗ'!O10</f>
        <v>43062.924948285436</v>
      </c>
      <c r="N6" s="340">
        <f>'ΧΡΗΜ. ΑΝΑΛΥΣΗ'!P8+'ΧΡΗΜ. ΑΝΑΛΥΣΗ'!P10</f>
        <v>43708.868822509714</v>
      </c>
      <c r="O6" s="341">
        <f>'ΧΡΗΜ. ΑΝΑΛΥΣΗ'!Q8+'ΧΡΗΜ. ΑΝΑΛΥΣΗ'!Q10</f>
        <v>44364.50185484736</v>
      </c>
    </row>
    <row r="7" spans="2:15" ht="25.5" x14ac:dyDescent="0.25">
      <c r="B7" s="342" t="s">
        <v>22</v>
      </c>
      <c r="C7" s="343"/>
      <c r="D7" s="344">
        <f>D5-D6</f>
        <v>326895.97868440009</v>
      </c>
      <c r="E7" s="344">
        <f t="shared" ref="E7:M7" si="0">E5-E6</f>
        <v>335445.00315151003</v>
      </c>
      <c r="F7" s="344">
        <f t="shared" si="0"/>
        <v>344213.4026052978</v>
      </c>
      <c r="G7" s="344">
        <f t="shared" si="0"/>
        <v>353206.74616105523</v>
      </c>
      <c r="H7" s="344">
        <f t="shared" si="0"/>
        <v>362430.74343306595</v>
      </c>
      <c r="I7" s="344">
        <f t="shared" si="0"/>
        <v>371891.24806614686</v>
      </c>
      <c r="J7" s="344">
        <f t="shared" si="0"/>
        <v>381594.26135576348</v>
      </c>
      <c r="K7" s="344">
        <f t="shared" si="0"/>
        <v>391545.93595893984</v>
      </c>
      <c r="L7" s="344">
        <f t="shared" si="0"/>
        <v>401752.57969823515</v>
      </c>
      <c r="M7" s="344">
        <f t="shared" si="0"/>
        <v>412220.65946111747</v>
      </c>
      <c r="N7" s="344">
        <f t="shared" ref="N7:O7" si="1">N5-N6</f>
        <v>422956.80519712827</v>
      </c>
      <c r="O7" s="345">
        <f t="shared" si="1"/>
        <v>433967.81401528162</v>
      </c>
    </row>
    <row r="8" spans="2:15" x14ac:dyDescent="0.25">
      <c r="B8" s="346" t="s">
        <v>23</v>
      </c>
      <c r="C8" s="335"/>
      <c r="D8" s="347">
        <v>0</v>
      </c>
      <c r="E8" s="347">
        <v>0</v>
      </c>
      <c r="F8" s="347">
        <v>0</v>
      </c>
      <c r="G8" s="347">
        <v>0</v>
      </c>
      <c r="H8" s="347">
        <v>0</v>
      </c>
      <c r="I8" s="347">
        <v>0</v>
      </c>
      <c r="J8" s="347">
        <v>0</v>
      </c>
      <c r="K8" s="347">
        <v>0</v>
      </c>
      <c r="L8" s="347">
        <v>0</v>
      </c>
      <c r="M8" s="347">
        <v>0</v>
      </c>
      <c r="N8" s="347">
        <v>0</v>
      </c>
      <c r="O8" s="348">
        <v>0</v>
      </c>
    </row>
    <row r="9" spans="2:15" x14ac:dyDescent="0.25">
      <c r="B9" s="346" t="s">
        <v>24</v>
      </c>
      <c r="C9" s="349">
        <f>-'ΚΟΣΤΟΣ ΕΠΕΝΔΥΣΗΣ'!E16</f>
        <v>-1691835</v>
      </c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50"/>
    </row>
    <row r="10" spans="2:15" ht="25.5" x14ac:dyDescent="0.25">
      <c r="B10" s="342" t="s">
        <v>25</v>
      </c>
      <c r="C10" s="344">
        <f>C9</f>
        <v>-1691835</v>
      </c>
      <c r="D10" s="344">
        <f>D7-D8-D9</f>
        <v>326895.97868440009</v>
      </c>
      <c r="E10" s="344">
        <f t="shared" ref="E10:M10" si="2">E7-E8-E9</f>
        <v>335445.00315151003</v>
      </c>
      <c r="F10" s="344">
        <f t="shared" si="2"/>
        <v>344213.4026052978</v>
      </c>
      <c r="G10" s="344">
        <f t="shared" si="2"/>
        <v>353206.74616105523</v>
      </c>
      <c r="H10" s="344">
        <f t="shared" si="2"/>
        <v>362430.74343306595</v>
      </c>
      <c r="I10" s="344">
        <f t="shared" si="2"/>
        <v>371891.24806614686</v>
      </c>
      <c r="J10" s="344">
        <f t="shared" si="2"/>
        <v>381594.26135576348</v>
      </c>
      <c r="K10" s="344">
        <f t="shared" si="2"/>
        <v>391545.93595893984</v>
      </c>
      <c r="L10" s="344">
        <f t="shared" si="2"/>
        <v>401752.57969823515</v>
      </c>
      <c r="M10" s="344">
        <f t="shared" si="2"/>
        <v>412220.65946111747</v>
      </c>
      <c r="N10" s="344">
        <f t="shared" ref="N10:O10" si="3">N7-N8-N9</f>
        <v>422956.80519712827</v>
      </c>
      <c r="O10" s="345">
        <f t="shared" si="3"/>
        <v>433967.81401528162</v>
      </c>
    </row>
    <row r="11" spans="2:15" x14ac:dyDescent="0.25">
      <c r="B11" s="346" t="s">
        <v>26</v>
      </c>
      <c r="C11" s="349">
        <f>ΔΑΝΕΙΑ!C25</f>
        <v>1184284.5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2"/>
    </row>
    <row r="12" spans="2:15" x14ac:dyDescent="0.25">
      <c r="B12" s="346" t="s">
        <v>127</v>
      </c>
      <c r="C12" s="349">
        <f>ΔΑΝΕΙΑ!C5</f>
        <v>0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2"/>
    </row>
    <row r="13" spans="2:15" x14ac:dyDescent="0.25">
      <c r="B13" s="346" t="s">
        <v>27</v>
      </c>
      <c r="C13" s="349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2"/>
    </row>
    <row r="14" spans="2:15" x14ac:dyDescent="0.25">
      <c r="B14" s="346" t="s">
        <v>28</v>
      </c>
      <c r="C14" s="349">
        <f>ΔΑΝΕΙΑ!C15</f>
        <v>507550.5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</row>
    <row r="15" spans="2:15" ht="38.25" x14ac:dyDescent="0.25">
      <c r="B15" s="342" t="s">
        <v>29</v>
      </c>
      <c r="C15" s="344">
        <f>SUM(C10)</f>
        <v>-1691835</v>
      </c>
      <c r="D15" s="344">
        <f t="shared" ref="D15:O15" si="4">SUM(D10)</f>
        <v>326895.97868440009</v>
      </c>
      <c r="E15" s="344">
        <f t="shared" si="4"/>
        <v>335445.00315151003</v>
      </c>
      <c r="F15" s="344">
        <f t="shared" si="4"/>
        <v>344213.4026052978</v>
      </c>
      <c r="G15" s="344">
        <f t="shared" si="4"/>
        <v>353206.74616105523</v>
      </c>
      <c r="H15" s="344">
        <f t="shared" si="4"/>
        <v>362430.74343306595</v>
      </c>
      <c r="I15" s="344">
        <f t="shared" si="4"/>
        <v>371891.24806614686</v>
      </c>
      <c r="J15" s="344">
        <f t="shared" si="4"/>
        <v>381594.26135576348</v>
      </c>
      <c r="K15" s="344">
        <f t="shared" si="4"/>
        <v>391545.93595893984</v>
      </c>
      <c r="L15" s="344">
        <f t="shared" si="4"/>
        <v>401752.57969823515</v>
      </c>
      <c r="M15" s="344">
        <f t="shared" si="4"/>
        <v>412220.65946111747</v>
      </c>
      <c r="N15" s="344">
        <f t="shared" si="4"/>
        <v>422956.80519712827</v>
      </c>
      <c r="O15" s="345">
        <f t="shared" si="4"/>
        <v>433967.81401528162</v>
      </c>
    </row>
    <row r="16" spans="2:15" ht="38.25" x14ac:dyDescent="0.25">
      <c r="B16" s="342" t="s">
        <v>194</v>
      </c>
      <c r="C16" s="344">
        <f>C15</f>
        <v>-1691835</v>
      </c>
      <c r="D16" s="344">
        <f>C16+D15</f>
        <v>-1364939.0213155998</v>
      </c>
      <c r="E16" s="344">
        <f>D16+E15</f>
        <v>-1029494.0181640898</v>
      </c>
      <c r="F16" s="344">
        <f t="shared" ref="F16:M16" si="5">E16+F15</f>
        <v>-685280.61555879191</v>
      </c>
      <c r="G16" s="344">
        <f t="shared" si="5"/>
        <v>-332073.86939773668</v>
      </c>
      <c r="H16" s="344">
        <f t="shared" si="5"/>
        <v>30356.874035329267</v>
      </c>
      <c r="I16" s="344">
        <f t="shared" si="5"/>
        <v>402248.12210147612</v>
      </c>
      <c r="J16" s="344">
        <f t="shared" si="5"/>
        <v>783842.3834572396</v>
      </c>
      <c r="K16" s="344">
        <f t="shared" si="5"/>
        <v>1175388.3194161793</v>
      </c>
      <c r="L16" s="344">
        <f t="shared" si="5"/>
        <v>1577140.8991144146</v>
      </c>
      <c r="M16" s="344">
        <f t="shared" si="5"/>
        <v>1989361.5585755319</v>
      </c>
      <c r="N16" s="344">
        <f t="shared" ref="N16" si="6">M16+N15</f>
        <v>2412318.36377266</v>
      </c>
      <c r="O16" s="345">
        <f t="shared" ref="O16" si="7">N16+O15</f>
        <v>2846286.1777879419</v>
      </c>
    </row>
    <row r="17" spans="2:15" ht="25.5" x14ac:dyDescent="0.25">
      <c r="B17" s="346" t="s">
        <v>196</v>
      </c>
      <c r="C17" s="335"/>
      <c r="D17" s="349">
        <f>ΔΑΝΕΙΑ!D11+ΔΑΝΕΙΑ!D12</f>
        <v>0</v>
      </c>
      <c r="E17" s="349">
        <f>ΔΑΝΕΙΑ!E11+ΔΑΝΕΙΑ!E12</f>
        <v>0</v>
      </c>
      <c r="F17" s="349">
        <f>ΔΑΝΕΙΑ!F11+ΔΑΝΕΙΑ!F12</f>
        <v>0</v>
      </c>
      <c r="G17" s="349">
        <f>ΔΑΝΕΙΑ!G11+ΔΑΝΕΙΑ!G12</f>
        <v>0</v>
      </c>
      <c r="H17" s="349">
        <f>ΔΑΝΕΙΑ!H11+ΔΑΝΕΙΑ!H12</f>
        <v>0</v>
      </c>
      <c r="I17" s="349">
        <f>ΔΑΝΕΙΑ!I11+ΔΑΝΕΙΑ!I12</f>
        <v>0</v>
      </c>
      <c r="J17" s="349">
        <f>ΔΑΝΕΙΑ!J11+ΔΑΝΕΙΑ!J12</f>
        <v>0</v>
      </c>
      <c r="K17" s="349">
        <f>ΔΑΝΕΙΑ!K11+ΔΑΝΕΙΑ!K12</f>
        <v>0</v>
      </c>
      <c r="L17" s="349">
        <f>ΔΑΝΕΙΑ!L11+ΔΑΝΕΙΑ!L12</f>
        <v>0</v>
      </c>
      <c r="M17" s="349">
        <f>ΔΑΝΕΙΑ!M11+ΔΑΝΕΙΑ!M12</f>
        <v>0</v>
      </c>
      <c r="N17" s="349">
        <f>ΔΑΝΕΙΑ!N11+ΔΑΝΕΙΑ!N12</f>
        <v>0</v>
      </c>
      <c r="O17" s="353">
        <f>ΔΑΝΕΙΑ!O11+ΔΑΝΕΙΑ!O12</f>
        <v>0</v>
      </c>
    </row>
    <row r="18" spans="2:15" ht="25.5" x14ac:dyDescent="0.25">
      <c r="B18" s="346" t="s">
        <v>193</v>
      </c>
      <c r="C18" s="335"/>
      <c r="D18" s="349">
        <f>ΔΑΝΕΙΑ!D21+ΔΑΝΕΙΑ!D22</f>
        <v>-57264.593268769881</v>
      </c>
      <c r="E18" s="349">
        <f>ΔΑΝΕΙΑ!E21+ΔΑΝΕΙΑ!E22</f>
        <v>-57264.593268769881</v>
      </c>
      <c r="F18" s="349">
        <f>ΔΑΝΕΙΑ!F21+ΔΑΝΕΙΑ!F22</f>
        <v>-57264.593268769881</v>
      </c>
      <c r="G18" s="349">
        <f>ΔΑΝΕΙΑ!G21+ΔΑΝΕΙΑ!G22</f>
        <v>-57264.593268769881</v>
      </c>
      <c r="H18" s="349">
        <f>ΔΑΝΕΙΑ!H21+ΔΑΝΕΙΑ!H22</f>
        <v>-57264.593268769881</v>
      </c>
      <c r="I18" s="349">
        <f>ΔΑΝΕΙΑ!I21+ΔΑΝΕΙΑ!I22</f>
        <v>-57264.593268769881</v>
      </c>
      <c r="J18" s="349">
        <f>ΔΑΝΕΙΑ!J21+ΔΑΝΕΙΑ!J22</f>
        <v>-57264.593268769881</v>
      </c>
      <c r="K18" s="349">
        <f>ΔΑΝΕΙΑ!K21+ΔΑΝΕΙΑ!K22</f>
        <v>-57264.593268769881</v>
      </c>
      <c r="L18" s="349">
        <f>ΔΑΝΕΙΑ!L21+ΔΑΝΕΙΑ!L22</f>
        <v>-57264.593268769881</v>
      </c>
      <c r="M18" s="349">
        <f>ΔΑΝΕΙΑ!M21+ΔΑΝΕΙΑ!M22</f>
        <v>-57264.593268769881</v>
      </c>
      <c r="N18" s="349">
        <f>ΔΑΝΕΙΑ!N21+ΔΑΝΕΙΑ!N22</f>
        <v>-57264.593268769881</v>
      </c>
      <c r="O18" s="353">
        <f>ΔΑΝΕΙΑ!O21+ΔΑΝΕΙΑ!O22</f>
        <v>-57264.593268769881</v>
      </c>
    </row>
    <row r="19" spans="2:15" ht="26.25" thickBot="1" x14ac:dyDescent="0.3">
      <c r="B19" s="354" t="s">
        <v>30</v>
      </c>
      <c r="C19" s="355">
        <f>C15+C18</f>
        <v>-1691835</v>
      </c>
      <c r="D19" s="355">
        <f>D15+D18+D17</f>
        <v>269631.38541563018</v>
      </c>
      <c r="E19" s="355">
        <f t="shared" ref="E19:N19" si="8">E15+E18+E17</f>
        <v>278180.40988274012</v>
      </c>
      <c r="F19" s="355">
        <f t="shared" si="8"/>
        <v>286948.80933652795</v>
      </c>
      <c r="G19" s="355">
        <f t="shared" si="8"/>
        <v>295942.15289228538</v>
      </c>
      <c r="H19" s="355">
        <f t="shared" si="8"/>
        <v>305166.15016429604</v>
      </c>
      <c r="I19" s="355">
        <f t="shared" si="8"/>
        <v>314626.65479737695</v>
      </c>
      <c r="J19" s="355">
        <f t="shared" si="8"/>
        <v>324329.66808699362</v>
      </c>
      <c r="K19" s="355">
        <f t="shared" si="8"/>
        <v>334281.34269016993</v>
      </c>
      <c r="L19" s="355">
        <f t="shared" si="8"/>
        <v>344487.98642946524</v>
      </c>
      <c r="M19" s="355">
        <f t="shared" si="8"/>
        <v>354956.06619234756</v>
      </c>
      <c r="N19" s="355">
        <f t="shared" si="8"/>
        <v>365692.21192835842</v>
      </c>
      <c r="O19" s="356">
        <f>O15+O18+O17</f>
        <v>376703.22074651171</v>
      </c>
    </row>
    <row r="20" spans="2:15" s="3" customFormat="1" ht="15.75" thickBot="1" x14ac:dyDescent="0.3">
      <c r="B20" s="357"/>
      <c r="C20" s="358"/>
      <c r="D20" s="359"/>
      <c r="E20" s="358"/>
      <c r="F20" s="358"/>
      <c r="G20" s="358"/>
      <c r="H20" s="358"/>
      <c r="I20" s="358"/>
      <c r="J20" s="358"/>
      <c r="K20" s="358"/>
      <c r="L20" s="358"/>
      <c r="M20" s="358"/>
      <c r="N20" s="360"/>
      <c r="O20" s="358"/>
    </row>
    <row r="21" spans="2:15" x14ac:dyDescent="0.25">
      <c r="B21" s="361" t="s">
        <v>199</v>
      </c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3"/>
    </row>
    <row r="22" spans="2:15" x14ac:dyDescent="0.25">
      <c r="B22" s="330" t="s">
        <v>192</v>
      </c>
      <c r="C22" s="364"/>
      <c r="D22" s="332">
        <v>1</v>
      </c>
      <c r="E22" s="332">
        <v>2</v>
      </c>
      <c r="F22" s="332">
        <v>3</v>
      </c>
      <c r="G22" s="332">
        <v>4</v>
      </c>
      <c r="H22" s="332">
        <v>5</v>
      </c>
      <c r="I22" s="332">
        <v>6</v>
      </c>
      <c r="J22" s="332">
        <v>7</v>
      </c>
      <c r="K22" s="332">
        <v>8</v>
      </c>
      <c r="L22" s="332">
        <v>9</v>
      </c>
      <c r="M22" s="332">
        <v>10</v>
      </c>
      <c r="N22" s="332">
        <v>11</v>
      </c>
      <c r="O22" s="333">
        <v>12</v>
      </c>
    </row>
    <row r="23" spans="2:15" ht="38.25" x14ac:dyDescent="0.25">
      <c r="B23" s="342" t="s">
        <v>191</v>
      </c>
      <c r="C23" s="22" t="str">
        <f>IFERROR(C15/-(C17+C18),"n/a")</f>
        <v>n/a</v>
      </c>
      <c r="D23" s="22">
        <f t="shared" ref="D23:O23" si="9">IFERROR(D15/-(D17+D18),"n/a")</f>
        <v>5.7085183011799687</v>
      </c>
      <c r="E23" s="22">
        <f t="shared" si="9"/>
        <v>5.8578081848430781</v>
      </c>
      <c r="F23" s="22">
        <f t="shared" si="9"/>
        <v>6.010928969489771</v>
      </c>
      <c r="G23" s="22">
        <f t="shared" si="9"/>
        <v>6.1679779074530146</v>
      </c>
      <c r="H23" s="22">
        <f t="shared" si="9"/>
        <v>6.3290547045712291</v>
      </c>
      <c r="I23" s="22">
        <f t="shared" si="9"/>
        <v>6.49426158185888</v>
      </c>
      <c r="J23" s="22">
        <f t="shared" si="9"/>
        <v>6.6637033387238205</v>
      </c>
      <c r="K23" s="22">
        <f t="shared" si="9"/>
        <v>6.8374874177701592</v>
      </c>
      <c r="L23" s="22">
        <f t="shared" si="9"/>
        <v>7.0157239712263362</v>
      </c>
      <c r="M23" s="22">
        <f t="shared" si="9"/>
        <v>7.1985259290390928</v>
      </c>
      <c r="N23" s="22">
        <f t="shared" si="9"/>
        <v>7.3860090686751496</v>
      </c>
      <c r="O23" s="365">
        <f t="shared" si="9"/>
        <v>7.5782920866732599</v>
      </c>
    </row>
    <row r="24" spans="2:15" x14ac:dyDescent="0.25">
      <c r="B24" s="342" t="s">
        <v>31</v>
      </c>
      <c r="C24" s="366">
        <f>MIRR(C19:O19,7%,10%)</f>
        <v>0.12058247918535758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365"/>
    </row>
    <row r="25" spans="2:15" x14ac:dyDescent="0.25">
      <c r="B25" s="342" t="s">
        <v>32</v>
      </c>
      <c r="C25" s="367">
        <f>IRR(C19:O19,8%)</f>
        <v>0.14536605471841701</v>
      </c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70"/>
    </row>
    <row r="26" spans="2:15" x14ac:dyDescent="0.25">
      <c r="B26" s="346" t="s">
        <v>190</v>
      </c>
      <c r="C26" s="340">
        <f>-'ΚΟΣΤΟΣ ΕΠΕΝΔΥΣΗΣ'!E20*'ΠΑΡΑΔΟΧΕΣ '!E5</f>
        <v>-406040.39999999997</v>
      </c>
      <c r="D26" s="369">
        <v>0</v>
      </c>
      <c r="E26" s="369">
        <v>0</v>
      </c>
      <c r="F26" s="369">
        <v>0</v>
      </c>
      <c r="G26" s="369">
        <v>0</v>
      </c>
      <c r="H26" s="369">
        <v>0</v>
      </c>
      <c r="I26" s="369">
        <v>0</v>
      </c>
      <c r="J26" s="369">
        <v>0</v>
      </c>
      <c r="K26" s="369">
        <v>0</v>
      </c>
      <c r="L26" s="369">
        <v>0</v>
      </c>
      <c r="M26" s="369">
        <v>0</v>
      </c>
      <c r="N26" s="369">
        <v>1</v>
      </c>
      <c r="O26" s="370">
        <v>2</v>
      </c>
    </row>
    <row r="27" spans="2:15" x14ac:dyDescent="0.25">
      <c r="B27" s="342" t="s">
        <v>33</v>
      </c>
      <c r="C27" s="371">
        <f>-C11+C26</f>
        <v>-1590324.9</v>
      </c>
      <c r="D27" s="372">
        <f t="shared" ref="D27:O27" si="10">D19</f>
        <v>269631.38541563018</v>
      </c>
      <c r="E27" s="372">
        <f t="shared" si="10"/>
        <v>278180.40988274012</v>
      </c>
      <c r="F27" s="372">
        <f t="shared" si="10"/>
        <v>286948.80933652795</v>
      </c>
      <c r="G27" s="372">
        <f t="shared" si="10"/>
        <v>295942.15289228538</v>
      </c>
      <c r="H27" s="372">
        <f t="shared" si="10"/>
        <v>305166.15016429604</v>
      </c>
      <c r="I27" s="372">
        <f t="shared" si="10"/>
        <v>314626.65479737695</v>
      </c>
      <c r="J27" s="372">
        <f t="shared" si="10"/>
        <v>324329.66808699362</v>
      </c>
      <c r="K27" s="372">
        <f t="shared" si="10"/>
        <v>334281.34269016993</v>
      </c>
      <c r="L27" s="372">
        <f t="shared" si="10"/>
        <v>344487.98642946524</v>
      </c>
      <c r="M27" s="372">
        <f t="shared" si="10"/>
        <v>354956.06619234756</v>
      </c>
      <c r="N27" s="372">
        <f t="shared" si="10"/>
        <v>365692.21192835842</v>
      </c>
      <c r="O27" s="373">
        <f t="shared" si="10"/>
        <v>376703.22074651171</v>
      </c>
    </row>
    <row r="28" spans="2:15" ht="38.25" x14ac:dyDescent="0.25">
      <c r="B28" s="342" t="s">
        <v>197</v>
      </c>
      <c r="C28" s="374">
        <f>IRR(C27:O27)</f>
        <v>0.15904161641604864</v>
      </c>
      <c r="D28" s="375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2"/>
    </row>
    <row r="29" spans="2:15" x14ac:dyDescent="0.25">
      <c r="B29" s="342" t="s">
        <v>67</v>
      </c>
      <c r="C29" s="376">
        <f>C19</f>
        <v>-1691835</v>
      </c>
      <c r="D29" s="376">
        <f t="shared" ref="D29:O29" si="11">C29+D19</f>
        <v>-1422203.6145843698</v>
      </c>
      <c r="E29" s="376">
        <f t="shared" si="11"/>
        <v>-1144023.2047016297</v>
      </c>
      <c r="F29" s="376">
        <f t="shared" si="11"/>
        <v>-857074.39536510175</v>
      </c>
      <c r="G29" s="376">
        <f t="shared" si="11"/>
        <v>-561132.24247281638</v>
      </c>
      <c r="H29" s="376">
        <f t="shared" si="11"/>
        <v>-255966.09230852034</v>
      </c>
      <c r="I29" s="376">
        <f t="shared" si="11"/>
        <v>58660.562488856609</v>
      </c>
      <c r="J29" s="376">
        <f t="shared" si="11"/>
        <v>382990.23057585023</v>
      </c>
      <c r="K29" s="376">
        <f t="shared" si="11"/>
        <v>717271.57326602016</v>
      </c>
      <c r="L29" s="376">
        <f t="shared" si="11"/>
        <v>1061759.5596954855</v>
      </c>
      <c r="M29" s="376">
        <f t="shared" si="11"/>
        <v>1416715.6258878331</v>
      </c>
      <c r="N29" s="376">
        <f t="shared" si="11"/>
        <v>1782407.8378161914</v>
      </c>
      <c r="O29" s="377">
        <f t="shared" si="11"/>
        <v>2159111.058562703</v>
      </c>
    </row>
    <row r="30" spans="2:15" ht="25.5" x14ac:dyDescent="0.25">
      <c r="B30" s="342" t="s">
        <v>34</v>
      </c>
      <c r="C30" s="378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23" t="s">
        <v>227</v>
      </c>
    </row>
    <row r="31" spans="2:15" x14ac:dyDescent="0.25">
      <c r="B31" s="342" t="s">
        <v>68</v>
      </c>
      <c r="C31" s="380">
        <f>C27</f>
        <v>-1590324.9</v>
      </c>
      <c r="D31" s="381">
        <f>D27+C27</f>
        <v>-1320693.5145843697</v>
      </c>
      <c r="E31" s="381">
        <f t="shared" ref="E31:L31" si="12">E27+D27</f>
        <v>547811.7952983703</v>
      </c>
      <c r="F31" s="381">
        <f t="shared" si="12"/>
        <v>565129.21921926807</v>
      </c>
      <c r="G31" s="381">
        <f t="shared" si="12"/>
        <v>582890.96222881333</v>
      </c>
      <c r="H31" s="381">
        <f t="shared" si="12"/>
        <v>601108.30305658141</v>
      </c>
      <c r="I31" s="381">
        <f t="shared" si="12"/>
        <v>619792.80496167298</v>
      </c>
      <c r="J31" s="381">
        <f t="shared" si="12"/>
        <v>638956.32288437057</v>
      </c>
      <c r="K31" s="381">
        <f t="shared" si="12"/>
        <v>658611.01077716355</v>
      </c>
      <c r="L31" s="381">
        <f t="shared" si="12"/>
        <v>678769.32911963516</v>
      </c>
      <c r="M31" s="381">
        <f>M27+L27</f>
        <v>699444.05262181279</v>
      </c>
      <c r="N31" s="381">
        <f>N27+M27</f>
        <v>720648.27812070597</v>
      </c>
      <c r="O31" s="382">
        <f>O27+N27</f>
        <v>742395.43267487013</v>
      </c>
    </row>
    <row r="32" spans="2:15" ht="15.75" thickBot="1" x14ac:dyDescent="0.3">
      <c r="B32" s="383" t="s">
        <v>35</v>
      </c>
      <c r="C32" s="384">
        <f>C31/($C11+$C12+$C14)</f>
        <v>-0.94</v>
      </c>
      <c r="D32" s="384">
        <f t="shared" ref="D32:O32" si="13">D31/($C11+$C12+$C14)</f>
        <v>-0.780627847623657</v>
      </c>
      <c r="E32" s="384">
        <f t="shared" si="13"/>
        <v>0.32379741245356097</v>
      </c>
      <c r="F32" s="384">
        <f t="shared" si="13"/>
        <v>0.33403329474757765</v>
      </c>
      <c r="G32" s="384">
        <f t="shared" si="13"/>
        <v>0.34453180258643029</v>
      </c>
      <c r="H32" s="384">
        <f t="shared" si="13"/>
        <v>0.35529960253605192</v>
      </c>
      <c r="I32" s="384">
        <f t="shared" si="13"/>
        <v>0.3663435293404339</v>
      </c>
      <c r="J32" s="384">
        <f t="shared" si="13"/>
        <v>0.37767059014878551</v>
      </c>
      <c r="K32" s="384">
        <f t="shared" si="13"/>
        <v>0.38928796884871369</v>
      </c>
      <c r="L32" s="384">
        <f t="shared" si="13"/>
        <v>0.4012030305080786</v>
      </c>
      <c r="M32" s="384">
        <f>M31/($C11+$C12+$C14)</f>
        <v>0.41342332592824527</v>
      </c>
      <c r="N32" s="384">
        <f t="shared" si="13"/>
        <v>0.42595659631152327</v>
      </c>
      <c r="O32" s="385">
        <f t="shared" si="13"/>
        <v>0.43881077804565466</v>
      </c>
    </row>
    <row r="33" spans="2:16" s="3" customFormat="1" x14ac:dyDescent="0.25"/>
    <row r="34" spans="2:16" s="3" customFormat="1" ht="15.75" thickBot="1" x14ac:dyDescent="0.3"/>
    <row r="35" spans="2:16" s="3" customFormat="1" x14ac:dyDescent="0.25">
      <c r="B35" s="386" t="s">
        <v>70</v>
      </c>
      <c r="C35" s="387">
        <f>AVERAGE(C32:N32)</f>
        <v>0.16757660881547864</v>
      </c>
      <c r="P35" s="388"/>
    </row>
    <row r="36" spans="2:16" s="3" customFormat="1" ht="15.75" thickBot="1" x14ac:dyDescent="0.3">
      <c r="B36" s="389" t="s">
        <v>71</v>
      </c>
      <c r="C36" s="390">
        <f>AVERAGE(D23:M23)</f>
        <v>6.4283990306155347</v>
      </c>
      <c r="D36" s="4"/>
      <c r="E36" s="4"/>
      <c r="F36" s="391"/>
      <c r="G36" s="391"/>
      <c r="H36" s="391"/>
      <c r="I36" s="391"/>
      <c r="J36" s="391"/>
      <c r="K36" s="391"/>
      <c r="L36" s="391"/>
      <c r="M36" s="391"/>
      <c r="N36" s="391"/>
      <c r="O36" s="391"/>
    </row>
    <row r="37" spans="2:16" s="3" customFormat="1" x14ac:dyDescent="0.25">
      <c r="B37" s="4"/>
      <c r="C37" s="4"/>
      <c r="D37" s="4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</row>
    <row r="38" spans="2:16" s="3" customForma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6" s="3" customForma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6" s="3" customFormat="1" x14ac:dyDescent="0.25">
      <c r="B40" s="4"/>
      <c r="C40" s="29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6" s="3" customFormat="1" x14ac:dyDescent="0.25">
      <c r="B41" s="4"/>
      <c r="C41" s="29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6" s="3" customForma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6" s="3" customForma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6" s="3" customFormat="1" x14ac:dyDescent="0.25">
      <c r="B44" s="4"/>
      <c r="C44" s="4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4"/>
      <c r="O44" s="4"/>
    </row>
    <row r="45" spans="2:16" s="3" customFormat="1" x14ac:dyDescent="0.25"/>
    <row r="46" spans="2:16" s="3" customFormat="1" x14ac:dyDescent="0.25"/>
    <row r="47" spans="2:16" s="3" customFormat="1" x14ac:dyDescent="0.25"/>
    <row r="48" spans="2:1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D27"/>
  <sheetViews>
    <sheetView zoomScale="81" zoomScaleNormal="81" workbookViewId="0">
      <selection activeCell="B2" sqref="B2:D27"/>
    </sheetView>
  </sheetViews>
  <sheetFormatPr defaultRowHeight="15" x14ac:dyDescent="0.25"/>
  <cols>
    <col min="1" max="1" width="29.7109375" style="3" customWidth="1"/>
    <col min="2" max="2" width="49.5703125" style="3" customWidth="1"/>
    <col min="3" max="3" width="10.85546875" style="3" customWidth="1"/>
    <col min="4" max="4" width="14.7109375" style="3" customWidth="1"/>
    <col min="5" max="5" width="2.140625" style="3" customWidth="1"/>
    <col min="6" max="6" width="3.85546875" style="3" customWidth="1"/>
    <col min="7" max="16384" width="9.140625" style="3"/>
  </cols>
  <sheetData>
    <row r="1" spans="2:4" ht="16.5" thickBot="1" x14ac:dyDescent="0.3">
      <c r="B1" s="640" t="s">
        <v>226</v>
      </c>
      <c r="C1" s="641"/>
      <c r="D1" s="641"/>
    </row>
    <row r="2" spans="2:4" x14ac:dyDescent="0.25">
      <c r="B2" s="647" t="s">
        <v>198</v>
      </c>
      <c r="C2" s="647" t="s">
        <v>64</v>
      </c>
      <c r="D2" s="649" t="s">
        <v>65</v>
      </c>
    </row>
    <row r="3" spans="2:4" ht="15.75" thickBot="1" x14ac:dyDescent="0.3">
      <c r="B3" s="648"/>
      <c r="C3" s="648"/>
      <c r="D3" s="650"/>
    </row>
    <row r="4" spans="2:4" ht="15.75" thickBot="1" x14ac:dyDescent="0.3">
      <c r="B4" s="651" t="s">
        <v>230</v>
      </c>
      <c r="C4" s="652" t="s">
        <v>1</v>
      </c>
      <c r="D4" s="654">
        <f>'ΚΟΣΤΟΣ ΕΠΕΝΔΥΣΗΣ'!E16</f>
        <v>1691835</v>
      </c>
    </row>
    <row r="5" spans="2:4" ht="15.75" thickBot="1" x14ac:dyDescent="0.3">
      <c r="B5" s="642"/>
      <c r="C5" s="653"/>
      <c r="D5" s="655"/>
    </row>
    <row r="6" spans="2:4" ht="16.5" customHeight="1" thickBot="1" x14ac:dyDescent="0.3">
      <c r="B6" s="642"/>
      <c r="C6" s="644"/>
      <c r="D6" s="656"/>
    </row>
    <row r="7" spans="2:4" ht="15.75" thickBot="1" x14ac:dyDescent="0.3">
      <c r="B7" s="394" t="s">
        <v>148</v>
      </c>
      <c r="C7" s="395" t="s">
        <v>1</v>
      </c>
      <c r="D7" s="396">
        <f>'ΧΡΗΜ. ΑΝΑΛΥΣΗ'!E15</f>
        <v>5029285.8032992799</v>
      </c>
    </row>
    <row r="8" spans="2:4" ht="15.75" thickBot="1" x14ac:dyDescent="0.3">
      <c r="B8" s="394" t="s">
        <v>156</v>
      </c>
      <c r="C8" s="395" t="s">
        <v>1</v>
      </c>
      <c r="D8" s="397">
        <f>ΠΡΟΥΠΟΛΟΓΙΣΜΟΣ!C14</f>
        <v>419107.15027494001</v>
      </c>
    </row>
    <row r="9" spans="2:4" ht="15.75" thickBot="1" x14ac:dyDescent="0.3">
      <c r="B9" s="394" t="s">
        <v>136</v>
      </c>
      <c r="C9" s="395" t="s">
        <v>1</v>
      </c>
      <c r="D9" s="397">
        <f>'ΧΡΗΜ. ΑΝΑΛΥΣΗ'!E14</f>
        <v>180000</v>
      </c>
    </row>
    <row r="10" spans="2:4" ht="15.75" thickBot="1" x14ac:dyDescent="0.3">
      <c r="B10" s="394" t="s">
        <v>79</v>
      </c>
      <c r="C10" s="395" t="s">
        <v>39</v>
      </c>
      <c r="D10" s="398">
        <f>('ΤΑΜΕΙΑΚΕΣ ΡΟΕΣ - ΔΕΙΚΤΕΣ'!C24+'ΤΑΜΕΙΑΚΕΣ ΡΟΕΣ - ΔΕΙΚΤΕΣ'!C25)/2</f>
        <v>0.1329742669518873</v>
      </c>
    </row>
    <row r="11" spans="2:4" ht="15.75" thickBot="1" x14ac:dyDescent="0.3">
      <c r="B11" s="394" t="s">
        <v>80</v>
      </c>
      <c r="C11" s="395" t="s">
        <v>39</v>
      </c>
      <c r="D11" s="398">
        <f>'ΤΑΜΕΙΑΚΕΣ ΡΟΕΣ - ΔΕΙΚΤΕΣ'!C28</f>
        <v>0.15904161641604864</v>
      </c>
    </row>
    <row r="12" spans="2:4" ht="15.75" thickBot="1" x14ac:dyDescent="0.3">
      <c r="B12" s="399" t="s">
        <v>71</v>
      </c>
      <c r="C12" s="399" t="s">
        <v>81</v>
      </c>
      <c r="D12" s="400">
        <f>'ΤΑΜΕΙΑΚΕΣ ΡΟΕΣ - ΔΕΙΚΤΕΣ'!C36</f>
        <v>6.4283990306155347</v>
      </c>
    </row>
    <row r="13" spans="2:4" ht="15.75" thickBot="1" x14ac:dyDescent="0.3">
      <c r="B13" s="399" t="s">
        <v>70</v>
      </c>
      <c r="C13" s="395" t="s">
        <v>39</v>
      </c>
      <c r="D13" s="398">
        <f>'ΤΑΜΕΙΑΚΕΣ ΡΟΕΣ - ΔΕΙΚΤΕΣ'!C35</f>
        <v>0.16757660881547864</v>
      </c>
    </row>
    <row r="14" spans="2:4" ht="15.75" thickBot="1" x14ac:dyDescent="0.3">
      <c r="B14" s="399" t="s">
        <v>139</v>
      </c>
      <c r="C14" s="399" t="s">
        <v>115</v>
      </c>
      <c r="D14" s="399" t="str">
        <f>'ΤΑΜΕΙΑΚΕΣ ΡΟΕΣ - ΔΕΙΚΤΕΣ'!O30</f>
        <v>5+</v>
      </c>
    </row>
    <row r="15" spans="2:4" ht="15.75" thickBot="1" x14ac:dyDescent="0.3">
      <c r="B15" s="399" t="s">
        <v>69</v>
      </c>
      <c r="C15" s="399" t="s">
        <v>115</v>
      </c>
      <c r="D15" s="399">
        <v>12</v>
      </c>
    </row>
    <row r="16" spans="2:4" ht="15.75" thickBot="1" x14ac:dyDescent="0.3">
      <c r="B16" s="642" t="s">
        <v>155</v>
      </c>
      <c r="C16" s="643" t="s">
        <v>1</v>
      </c>
      <c r="D16" s="645">
        <f>NPV(12%,'ΧΡΗΜ. ΑΝΑΛΥΣΗ'!F7:Q7)</f>
        <v>4144212.2923293877</v>
      </c>
    </row>
    <row r="17" spans="2:4" ht="15.75" thickBot="1" x14ac:dyDescent="0.3">
      <c r="B17" s="642"/>
      <c r="C17" s="644"/>
      <c r="D17" s="646"/>
    </row>
    <row r="18" spans="2:4" ht="15.75" thickBot="1" x14ac:dyDescent="0.3">
      <c r="B18" s="642" t="s">
        <v>154</v>
      </c>
      <c r="C18" s="643" t="s">
        <v>1</v>
      </c>
      <c r="D18" s="645">
        <f>NPV(12%,'ΧΡΗΜ. ΑΝΑΛΥΣΗ'!F11:Q11)</f>
        <v>1183971.4709622858</v>
      </c>
    </row>
    <row r="19" spans="2:4" ht="15" customHeight="1" thickBot="1" x14ac:dyDescent="0.3">
      <c r="B19" s="642"/>
      <c r="C19" s="644"/>
      <c r="D19" s="646"/>
    </row>
    <row r="20" spans="2:4" ht="15.75" thickBot="1" x14ac:dyDescent="0.3">
      <c r="B20" s="399" t="s">
        <v>195</v>
      </c>
      <c r="C20" s="395" t="s">
        <v>1</v>
      </c>
      <c r="D20" s="401">
        <f>ΔΑΝΕΙΑ!C10+ΔΑΝΕΙΑ!C20</f>
        <v>507550.5</v>
      </c>
    </row>
    <row r="21" spans="2:4" ht="14.25" customHeight="1" thickBot="1" x14ac:dyDescent="0.3">
      <c r="B21" s="399" t="s">
        <v>153</v>
      </c>
      <c r="C21" s="399" t="s">
        <v>66</v>
      </c>
      <c r="D21" s="402">
        <f>'ΧΡΗΜ. ΑΝΑΛΥΣΗ'!E16</f>
        <v>44111072.807953209</v>
      </c>
    </row>
    <row r="22" spans="2:4" ht="15.75" thickBot="1" x14ac:dyDescent="0.3">
      <c r="B22" s="399" t="s">
        <v>152</v>
      </c>
      <c r="C22" s="399" t="s">
        <v>66</v>
      </c>
      <c r="D22" s="402">
        <f>'ΧΡΗΜ. ΑΝΑΛΥΣΗ'!E17</f>
        <v>11965811.14870533</v>
      </c>
    </row>
    <row r="23" spans="2:4" ht="15.75" thickBot="1" x14ac:dyDescent="0.3">
      <c r="B23" s="399" t="s">
        <v>151</v>
      </c>
      <c r="C23" s="399" t="s">
        <v>39</v>
      </c>
      <c r="D23" s="403">
        <f>100%-D22/D21</f>
        <v>0.72873452430411301</v>
      </c>
    </row>
    <row r="24" spans="2:4" ht="15.75" thickBot="1" x14ac:dyDescent="0.3">
      <c r="B24" s="399" t="s">
        <v>62</v>
      </c>
      <c r="C24" s="399" t="s">
        <v>3</v>
      </c>
      <c r="D24" s="402">
        <f>SUM('ΧΡΗΜ. ΑΝΑΛΥΣΗ'!F19:Q19)</f>
        <v>50683.622656338244</v>
      </c>
    </row>
    <row r="25" spans="2:4" ht="15.75" thickBot="1" x14ac:dyDescent="0.3">
      <c r="B25" s="399" t="s">
        <v>63</v>
      </c>
      <c r="C25" s="399" t="s">
        <v>3</v>
      </c>
      <c r="D25" s="402">
        <f>SUM('ΧΡΗΜ. ΑΝΑΛΥΣΗ'!F21:Q21)</f>
        <v>13748.717009862425</v>
      </c>
    </row>
    <row r="26" spans="2:4" ht="15.75" thickBot="1" x14ac:dyDescent="0.3">
      <c r="B26" s="399" t="s">
        <v>150</v>
      </c>
      <c r="C26" s="399" t="s">
        <v>3</v>
      </c>
      <c r="D26" s="402">
        <f>D24-D25</f>
        <v>36934.905646475818</v>
      </c>
    </row>
    <row r="27" spans="2:4" ht="15.75" thickBot="1" x14ac:dyDescent="0.3">
      <c r="B27" s="404" t="s">
        <v>149</v>
      </c>
      <c r="C27" s="404" t="s">
        <v>39</v>
      </c>
      <c r="D27" s="405">
        <f>100%-D25/D24</f>
        <v>0.72873452430411312</v>
      </c>
    </row>
  </sheetData>
  <mergeCells count="13">
    <mergeCell ref="B1:D1"/>
    <mergeCell ref="B16:B17"/>
    <mergeCell ref="C16:C17"/>
    <mergeCell ref="D16:D17"/>
    <mergeCell ref="B18:B19"/>
    <mergeCell ref="C18:C19"/>
    <mergeCell ref="D18:D19"/>
    <mergeCell ref="B2:B3"/>
    <mergeCell ref="C2:C3"/>
    <mergeCell ref="D2:D3"/>
    <mergeCell ref="B4:B6"/>
    <mergeCell ref="C4:C6"/>
    <mergeCell ref="D4:D6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3">
    <tabColor theme="6"/>
  </sheetPr>
  <dimension ref="A1:AO169"/>
  <sheetViews>
    <sheetView zoomScale="90" zoomScaleNormal="90" workbookViewId="0">
      <selection activeCell="F3" sqref="F3:H14"/>
    </sheetView>
  </sheetViews>
  <sheetFormatPr defaultRowHeight="15" x14ac:dyDescent="0.25"/>
  <cols>
    <col min="1" max="1" width="30.7109375" style="26" customWidth="1"/>
    <col min="2" max="2" width="15.85546875" style="113" customWidth="1"/>
    <col min="3" max="3" width="20.140625" style="113" customWidth="1"/>
    <col min="4" max="4" width="8.28515625" style="113" customWidth="1"/>
    <col min="5" max="5" width="12.85546875" style="113" bestFit="1" customWidth="1"/>
    <col min="6" max="6" width="49.85546875" style="113" customWidth="1"/>
    <col min="7" max="7" width="21.85546875" style="113" customWidth="1"/>
    <col min="8" max="8" width="6.7109375" style="113" bestFit="1" customWidth="1"/>
    <col min="9" max="9" width="21.5703125" style="113" customWidth="1"/>
    <col min="10" max="10" width="12.140625" style="113" customWidth="1"/>
    <col min="11" max="11" width="7" style="26" customWidth="1"/>
    <col min="12" max="16384" width="9.140625" style="26"/>
  </cols>
  <sheetData>
    <row r="1" spans="1:41" ht="15.75" thickBot="1" x14ac:dyDescent="0.3">
      <c r="A1" s="3"/>
      <c r="B1" s="85"/>
      <c r="C1" s="85"/>
      <c r="D1" s="85"/>
      <c r="E1" s="85"/>
      <c r="F1" s="85"/>
      <c r="G1" s="85"/>
      <c r="H1" s="85"/>
      <c r="I1" s="85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.75" x14ac:dyDescent="0.25">
      <c r="A2" s="3"/>
      <c r="B2" s="516" t="s">
        <v>217</v>
      </c>
      <c r="C2" s="517"/>
      <c r="D2" s="517"/>
      <c r="E2" s="517"/>
      <c r="F2" s="517"/>
      <c r="G2" s="517"/>
      <c r="H2" s="517"/>
      <c r="I2" s="517"/>
      <c r="J2" s="51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519" t="s">
        <v>102</v>
      </c>
      <c r="C3" s="520"/>
      <c r="D3" s="520"/>
      <c r="E3" s="521"/>
      <c r="F3" s="536" t="s">
        <v>117</v>
      </c>
      <c r="G3" s="537"/>
      <c r="H3" s="538"/>
      <c r="I3" s="539" t="s">
        <v>200</v>
      </c>
      <c r="J3" s="54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2.5" x14ac:dyDescent="0.25">
      <c r="A4" s="3"/>
      <c r="B4" s="526" t="s">
        <v>50</v>
      </c>
      <c r="C4" s="527"/>
      <c r="D4" s="423" t="s">
        <v>39</v>
      </c>
      <c r="E4" s="409" t="s">
        <v>1</v>
      </c>
      <c r="F4" s="11" t="s">
        <v>228</v>
      </c>
      <c r="G4" s="11" t="s">
        <v>114</v>
      </c>
      <c r="H4" s="16" t="s">
        <v>113</v>
      </c>
      <c r="I4" s="11" t="s">
        <v>201</v>
      </c>
      <c r="J4" s="410" t="s">
        <v>114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532" t="s">
        <v>158</v>
      </c>
      <c r="C5" s="533"/>
      <c r="D5" s="87">
        <v>0</v>
      </c>
      <c r="E5" s="88">
        <f>'ΚΟΣΤΟΣ ΕΠΕΝΔΥΣΗΣ'!E20*D5</f>
        <v>0</v>
      </c>
      <c r="F5" s="89" t="s">
        <v>323</v>
      </c>
      <c r="G5" s="511">
        <f>70/0.85</f>
        <v>82.352941176470594</v>
      </c>
      <c r="H5" s="90">
        <f>84+416</f>
        <v>500</v>
      </c>
      <c r="I5" s="91" t="s">
        <v>330</v>
      </c>
      <c r="J5" s="411">
        <v>27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532" t="s">
        <v>51</v>
      </c>
      <c r="C6" s="533"/>
      <c r="D6" s="87">
        <v>0.3</v>
      </c>
      <c r="E6" s="88">
        <f>'ΚΟΣΤΟΣ ΕΠΕΝΔΥΣΗΣ'!E20*D6</f>
        <v>507550.5</v>
      </c>
      <c r="F6" s="89" t="s">
        <v>324</v>
      </c>
      <c r="G6" s="511">
        <f>125/0.85</f>
        <v>147.05882352941177</v>
      </c>
      <c r="H6" s="90">
        <f>29+80</f>
        <v>109</v>
      </c>
      <c r="I6" s="91" t="s">
        <v>331</v>
      </c>
      <c r="J6" s="411">
        <v>36</v>
      </c>
      <c r="K6" s="3"/>
      <c r="L6" s="3" t="s">
        <v>138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532" t="s">
        <v>52</v>
      </c>
      <c r="C7" s="533"/>
      <c r="D7" s="87">
        <v>0.7</v>
      </c>
      <c r="E7" s="88">
        <f>'ΚΟΣΤΟΣ ΕΠΕΝΔΥΣΗΣ'!E20*D7</f>
        <v>1184284.5</v>
      </c>
      <c r="F7" s="89" t="s">
        <v>325</v>
      </c>
      <c r="G7" s="511">
        <f>250/0.85</f>
        <v>294.11764705882354</v>
      </c>
      <c r="H7" s="90">
        <v>294</v>
      </c>
      <c r="I7" s="91" t="s">
        <v>332</v>
      </c>
      <c r="J7" s="411">
        <v>80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530" t="s">
        <v>6</v>
      </c>
      <c r="C8" s="531"/>
      <c r="D8" s="92">
        <f>SUM(D5:D7)</f>
        <v>1</v>
      </c>
      <c r="E8" s="93">
        <f>SUM(E5:E7)</f>
        <v>1691835</v>
      </c>
      <c r="F8" s="89" t="s">
        <v>326</v>
      </c>
      <c r="G8" s="511">
        <f>125/0.85</f>
        <v>147.05882352941177</v>
      </c>
      <c r="H8" s="90">
        <f>2912+372</f>
        <v>3284</v>
      </c>
      <c r="I8" s="91" t="s">
        <v>331</v>
      </c>
      <c r="J8" s="411">
        <v>40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528" t="s">
        <v>56</v>
      </c>
      <c r="C9" s="529"/>
      <c r="D9" s="424"/>
      <c r="E9" s="86"/>
      <c r="F9" s="89" t="s">
        <v>328</v>
      </c>
      <c r="G9" s="511">
        <f>250/0.85</f>
        <v>294.11764705882354</v>
      </c>
      <c r="H9" s="90">
        <v>10</v>
      </c>
      <c r="I9" s="91" t="s">
        <v>329</v>
      </c>
      <c r="J9" s="411">
        <v>90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522" t="s">
        <v>321</v>
      </c>
      <c r="C10" s="523"/>
      <c r="D10" s="94" t="s">
        <v>39</v>
      </c>
      <c r="E10" s="95">
        <v>0.05</v>
      </c>
      <c r="F10" s="89" t="s">
        <v>327</v>
      </c>
      <c r="G10" s="511">
        <f>400/0.85</f>
        <v>470.58823529411768</v>
      </c>
      <c r="H10" s="90">
        <v>317</v>
      </c>
      <c r="I10" s="91" t="s">
        <v>333</v>
      </c>
      <c r="J10" s="411">
        <v>120</v>
      </c>
      <c r="K10" s="3"/>
      <c r="L10" s="3" t="s">
        <v>138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522" t="s">
        <v>202</v>
      </c>
      <c r="C11" s="523"/>
      <c r="D11" s="421" t="s">
        <v>115</v>
      </c>
      <c r="E11" s="96">
        <v>0</v>
      </c>
      <c r="F11" s="89"/>
      <c r="G11" s="511"/>
      <c r="H11" s="90"/>
      <c r="I11" s="91"/>
      <c r="J11" s="411"/>
      <c r="K11" s="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522" t="s">
        <v>97</v>
      </c>
      <c r="C12" s="523"/>
      <c r="D12" s="421" t="s">
        <v>115</v>
      </c>
      <c r="E12" s="96">
        <v>12</v>
      </c>
      <c r="F12" s="89"/>
      <c r="G12" s="511"/>
      <c r="H12" s="90"/>
      <c r="I12" s="91"/>
      <c r="J12" s="411"/>
      <c r="K12" s="4"/>
      <c r="L12" s="3"/>
      <c r="M12" s="3" t="s">
        <v>138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522" t="s">
        <v>322</v>
      </c>
      <c r="C13" s="523"/>
      <c r="D13" s="510" t="s">
        <v>39</v>
      </c>
      <c r="E13" s="512">
        <v>0</v>
      </c>
      <c r="F13" s="89"/>
      <c r="G13" s="511"/>
      <c r="H13" s="90"/>
      <c r="I13" s="91"/>
      <c r="J13" s="411"/>
      <c r="K13" s="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524" t="s">
        <v>138</v>
      </c>
      <c r="C14" s="525"/>
      <c r="D14" s="422" t="s">
        <v>138</v>
      </c>
      <c r="E14" s="430" t="s">
        <v>138</v>
      </c>
      <c r="F14" s="408"/>
      <c r="G14" s="97" t="s">
        <v>159</v>
      </c>
      <c r="H14" s="90">
        <f>SUM(H5:H13)</f>
        <v>4514</v>
      </c>
      <c r="I14" s="91"/>
      <c r="J14" s="411"/>
      <c r="K14" s="4"/>
      <c r="L14" s="3" t="s">
        <v>138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547" t="s">
        <v>160</v>
      </c>
      <c r="C15" s="548"/>
      <c r="D15" s="548"/>
      <c r="E15" s="549"/>
      <c r="F15" s="550"/>
      <c r="G15" s="544" t="s">
        <v>161</v>
      </c>
      <c r="H15" s="545"/>
      <c r="I15" s="545"/>
      <c r="J15" s="546"/>
      <c r="K15" s="4"/>
      <c r="L15" s="3"/>
      <c r="M15" s="3" t="s">
        <v>138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412"/>
      <c r="C16" s="14"/>
      <c r="D16" s="20" t="s">
        <v>4</v>
      </c>
      <c r="E16" s="20" t="s">
        <v>207</v>
      </c>
      <c r="F16" s="20" t="s">
        <v>6</v>
      </c>
      <c r="G16" s="21"/>
      <c r="H16" s="20" t="s">
        <v>4</v>
      </c>
      <c r="I16" s="20" t="s">
        <v>207</v>
      </c>
      <c r="J16" s="413" t="s">
        <v>6</v>
      </c>
      <c r="K16" s="4"/>
      <c r="L16" s="3" t="s">
        <v>138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414"/>
      <c r="C17" s="98" t="s">
        <v>204</v>
      </c>
      <c r="D17" s="99">
        <v>1100</v>
      </c>
      <c r="E17" s="100">
        <v>12</v>
      </c>
      <c r="F17" s="101">
        <f>D17*E17</f>
        <v>13200</v>
      </c>
      <c r="G17" s="102" t="s">
        <v>204</v>
      </c>
      <c r="H17" s="99">
        <v>100</v>
      </c>
      <c r="I17" s="100">
        <v>120</v>
      </c>
      <c r="J17" s="415">
        <f>H17*I17</f>
        <v>12000</v>
      </c>
      <c r="K17" s="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3"/>
      <c r="B18" s="414"/>
      <c r="C18" s="98" t="s">
        <v>203</v>
      </c>
      <c r="D18" s="103">
        <v>350</v>
      </c>
      <c r="E18" s="100">
        <v>15</v>
      </c>
      <c r="F18" s="101">
        <f>D18*E18</f>
        <v>5250</v>
      </c>
      <c r="G18" s="102" t="s">
        <v>203</v>
      </c>
      <c r="H18" s="103"/>
      <c r="I18" s="100"/>
      <c r="J18" s="415">
        <f t="shared" ref="J18:J21" si="0">H18*I18</f>
        <v>0</v>
      </c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ht="15" customHeight="1" x14ac:dyDescent="0.25">
      <c r="A19" s="3"/>
      <c r="B19" s="414"/>
      <c r="C19" s="98" t="s">
        <v>205</v>
      </c>
      <c r="D19" s="103">
        <v>200</v>
      </c>
      <c r="E19" s="100">
        <v>120</v>
      </c>
      <c r="F19" s="101">
        <f>D19*E19</f>
        <v>24000</v>
      </c>
      <c r="G19" s="102" t="s">
        <v>205</v>
      </c>
      <c r="H19" s="103"/>
      <c r="I19" s="100"/>
      <c r="J19" s="415">
        <f t="shared" si="0"/>
        <v>0</v>
      </c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414"/>
      <c r="C20" s="98" t="s">
        <v>206</v>
      </c>
      <c r="D20" s="103">
        <v>2</v>
      </c>
      <c r="E20" s="100">
        <v>24000</v>
      </c>
      <c r="F20" s="101">
        <f>D20*E20</f>
        <v>48000</v>
      </c>
      <c r="G20" s="102" t="s">
        <v>7</v>
      </c>
      <c r="H20" s="103">
        <v>1</v>
      </c>
      <c r="I20" s="100">
        <v>12000</v>
      </c>
      <c r="J20" s="415">
        <f t="shared" si="0"/>
        <v>12000</v>
      </c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414"/>
      <c r="C21" s="98" t="s">
        <v>208</v>
      </c>
      <c r="D21" s="103">
        <v>1</v>
      </c>
      <c r="E21" s="100">
        <v>15000</v>
      </c>
      <c r="F21" s="101">
        <f>D21*E21</f>
        <v>15000</v>
      </c>
      <c r="G21" s="102" t="s">
        <v>318</v>
      </c>
      <c r="H21" s="103">
        <v>1</v>
      </c>
      <c r="I21" s="100">
        <f>'SMART '!G28</f>
        <v>13662.5</v>
      </c>
      <c r="J21" s="415">
        <f t="shared" si="0"/>
        <v>13662.5</v>
      </c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541" t="s">
        <v>9</v>
      </c>
      <c r="C22" s="542"/>
      <c r="D22" s="542"/>
      <c r="E22" s="542"/>
      <c r="F22" s="104">
        <f>SUM(F17:F21)</f>
        <v>105450</v>
      </c>
      <c r="G22" s="543" t="s">
        <v>9</v>
      </c>
      <c r="H22" s="542"/>
      <c r="I22" s="542"/>
      <c r="J22" s="416">
        <f>SUM(J17:J21)</f>
        <v>37662.5</v>
      </c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534" t="s">
        <v>165</v>
      </c>
      <c r="C23" s="105" t="s">
        <v>163</v>
      </c>
      <c r="D23" s="105" t="s">
        <v>116</v>
      </c>
      <c r="E23" s="105" t="s">
        <v>164</v>
      </c>
      <c r="F23" s="106" t="s">
        <v>231</v>
      </c>
      <c r="G23" s="107" t="s">
        <v>107</v>
      </c>
      <c r="H23" s="421"/>
      <c r="I23" s="4"/>
      <c r="J23" s="28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x14ac:dyDescent="0.25">
      <c r="A24" s="3"/>
      <c r="B24" s="534"/>
      <c r="C24" s="108" t="str">
        <f>I5</f>
        <v>Λαμπτήρας LED ≤ 30W</v>
      </c>
      <c r="D24" s="108">
        <f>J5</f>
        <v>27</v>
      </c>
      <c r="E24" s="426">
        <v>90</v>
      </c>
      <c r="F24" s="109" t="s">
        <v>234</v>
      </c>
      <c r="G24" s="427">
        <v>120000</v>
      </c>
      <c r="H24" s="4"/>
      <c r="I24" s="4"/>
      <c r="J24" s="289"/>
      <c r="K24" s="4"/>
      <c r="L24" s="3" t="s">
        <v>138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x14ac:dyDescent="0.25">
      <c r="A25" s="3"/>
      <c r="B25" s="534"/>
      <c r="C25" s="108" t="str">
        <f>I6</f>
        <v>Λαμπτήρας LED ≤ 55W</v>
      </c>
      <c r="D25" s="108">
        <v>36</v>
      </c>
      <c r="E25" s="426">
        <v>120</v>
      </c>
      <c r="F25" s="110" t="s">
        <v>232</v>
      </c>
      <c r="G25" s="427">
        <f>'SMART '!E23</f>
        <v>185150</v>
      </c>
      <c r="H25" s="4"/>
      <c r="I25" s="4" t="s">
        <v>138</v>
      </c>
      <c r="J25" s="289"/>
      <c r="K25" s="4"/>
      <c r="L25" s="3" t="s">
        <v>138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534"/>
      <c r="C26" s="108" t="str">
        <f>I7</f>
        <v>Λαμπτήρας LED ≤ 110W</v>
      </c>
      <c r="D26" s="108">
        <f>J7</f>
        <v>80</v>
      </c>
      <c r="E26" s="426">
        <v>150</v>
      </c>
      <c r="F26" s="111" t="s">
        <v>73</v>
      </c>
      <c r="G26" s="427">
        <v>30000</v>
      </c>
      <c r="H26" s="4"/>
      <c r="I26" s="4"/>
      <c r="J26" s="289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534"/>
      <c r="C27" s="108" t="str">
        <f>I8</f>
        <v>Λαμπτήρας LED ≤ 55W</v>
      </c>
      <c r="D27" s="108">
        <v>40</v>
      </c>
      <c r="E27" s="427">
        <v>320</v>
      </c>
      <c r="F27" s="4"/>
      <c r="G27" s="4"/>
      <c r="H27" s="4"/>
      <c r="I27" s="4"/>
      <c r="J27" s="289"/>
      <c r="K27" s="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534"/>
      <c r="C28" s="108" t="str">
        <f>I9</f>
        <v>Φωτιστικό Δρόμου ≤ 110W</v>
      </c>
      <c r="D28" s="108">
        <v>80</v>
      </c>
      <c r="E28" s="427">
        <v>550</v>
      </c>
      <c r="F28" s="4"/>
      <c r="G28" s="4"/>
      <c r="H28" s="4"/>
      <c r="I28" s="4"/>
      <c r="J28" s="289"/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x14ac:dyDescent="0.25">
      <c r="A29" s="3"/>
      <c r="B29" s="534"/>
      <c r="C29" s="108" t="str">
        <f>I10</f>
        <v>Φωτιστικό Δρόμου ≤ 180W</v>
      </c>
      <c r="D29" s="108">
        <v>120</v>
      </c>
      <c r="E29" s="427">
        <v>625</v>
      </c>
      <c r="F29" s="4"/>
      <c r="G29" s="4" t="s">
        <v>138</v>
      </c>
      <c r="H29" s="4"/>
      <c r="I29" s="4"/>
      <c r="J29" s="28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ht="15.75" thickBot="1" x14ac:dyDescent="0.3">
      <c r="A30" s="3"/>
      <c r="B30" s="535"/>
      <c r="C30" s="417"/>
      <c r="D30" s="417"/>
      <c r="E30" s="428"/>
      <c r="F30" s="302"/>
      <c r="G30" s="302"/>
      <c r="H30" s="302"/>
      <c r="I30" s="302"/>
      <c r="J30" s="30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85"/>
      <c r="C31" s="85"/>
      <c r="D31" s="85"/>
      <c r="E31" s="85"/>
      <c r="F31" s="85"/>
      <c r="G31" s="85"/>
      <c r="H31" s="85"/>
      <c r="I31" s="85"/>
      <c r="J31" s="8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112"/>
      <c r="C32" s="112"/>
      <c r="D32" s="112"/>
      <c r="E32" s="425"/>
      <c r="F32" s="112"/>
      <c r="G32" s="112"/>
      <c r="H32" s="112"/>
      <c r="I32" s="112"/>
      <c r="J32" s="11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112"/>
      <c r="C33" s="112"/>
      <c r="D33" s="112"/>
      <c r="E33" s="112"/>
      <c r="F33" s="112"/>
      <c r="G33" s="112"/>
      <c r="H33" s="112"/>
      <c r="I33" s="112"/>
      <c r="J33" s="11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112"/>
      <c r="C34" s="112"/>
      <c r="D34" s="112"/>
      <c r="E34" s="112"/>
      <c r="F34" s="112"/>
      <c r="G34" s="112"/>
      <c r="H34" s="112"/>
      <c r="I34" s="112"/>
      <c r="J34" s="11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112"/>
      <c r="C35" s="112"/>
      <c r="D35" s="112"/>
      <c r="E35" s="112"/>
      <c r="F35" s="112" t="s">
        <v>138</v>
      </c>
      <c r="G35" s="112"/>
      <c r="H35" s="112"/>
      <c r="I35" s="112"/>
      <c r="J35" s="11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112"/>
      <c r="C36" s="112"/>
      <c r="D36" s="112"/>
      <c r="E36" s="112"/>
      <c r="F36" s="112"/>
      <c r="G36" s="112"/>
      <c r="H36" s="112"/>
      <c r="I36" s="112"/>
      <c r="J36" s="11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112"/>
      <c r="C37" s="112"/>
      <c r="D37" s="112"/>
      <c r="E37" s="112"/>
      <c r="F37" s="112"/>
      <c r="G37" s="112"/>
      <c r="H37" s="112"/>
      <c r="I37" s="112"/>
      <c r="J37" s="11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112"/>
      <c r="C38" s="112"/>
      <c r="D38" s="112"/>
      <c r="E38" s="112"/>
      <c r="F38" s="112"/>
      <c r="G38" s="112"/>
      <c r="H38" s="112"/>
      <c r="I38" s="112"/>
      <c r="J38" s="11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112"/>
      <c r="C39" s="112"/>
      <c r="D39" s="112"/>
      <c r="E39" s="112"/>
      <c r="F39" s="112"/>
      <c r="G39" s="112"/>
      <c r="H39" s="112"/>
      <c r="I39" s="112"/>
      <c r="J39" s="11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112"/>
      <c r="C40" s="112"/>
      <c r="D40" s="112"/>
      <c r="E40" s="112"/>
      <c r="F40" s="112"/>
      <c r="G40" s="112"/>
      <c r="H40" s="112"/>
      <c r="I40" s="112"/>
      <c r="J40" s="11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112"/>
      <c r="C41" s="112"/>
      <c r="D41" s="112"/>
      <c r="E41" s="112"/>
      <c r="F41" s="112"/>
      <c r="G41" s="112"/>
      <c r="H41" s="112"/>
      <c r="I41" s="112"/>
      <c r="J41" s="11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112"/>
      <c r="C42" s="112"/>
      <c r="D42" s="112"/>
      <c r="E42" s="112"/>
      <c r="F42" s="112"/>
      <c r="G42" s="112"/>
      <c r="H42" s="112"/>
      <c r="I42" s="112"/>
      <c r="J42" s="11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112"/>
      <c r="C43" s="112"/>
      <c r="D43" s="112"/>
      <c r="E43" s="112"/>
      <c r="F43" s="112"/>
      <c r="G43" s="112"/>
      <c r="H43" s="112"/>
      <c r="I43" s="112"/>
      <c r="J43" s="11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112"/>
      <c r="C44" s="112"/>
      <c r="D44" s="112"/>
      <c r="E44" s="112"/>
      <c r="F44" s="112"/>
      <c r="G44" s="112"/>
      <c r="H44" s="112"/>
      <c r="I44" s="112"/>
      <c r="J44" s="11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112"/>
      <c r="C45" s="112"/>
      <c r="D45" s="112"/>
      <c r="E45" s="112"/>
      <c r="F45" s="112"/>
      <c r="G45" s="112"/>
      <c r="H45" s="112"/>
      <c r="I45" s="112"/>
      <c r="J45" s="11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112"/>
      <c r="C46" s="112"/>
      <c r="D46" s="112"/>
      <c r="E46" s="112"/>
      <c r="F46" s="112"/>
      <c r="G46" s="112"/>
      <c r="H46" s="112"/>
      <c r="I46" s="112"/>
      <c r="J46" s="11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112"/>
      <c r="C47" s="112"/>
      <c r="D47" s="112"/>
      <c r="E47" s="112"/>
      <c r="F47" s="112"/>
      <c r="G47" s="112"/>
      <c r="H47" s="112"/>
      <c r="I47" s="112"/>
      <c r="J47" s="11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112"/>
      <c r="C48" s="112"/>
      <c r="D48" s="112"/>
      <c r="E48" s="112"/>
      <c r="F48" s="112"/>
      <c r="G48" s="112"/>
      <c r="H48" s="112"/>
      <c r="I48" s="112"/>
      <c r="J48" s="11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112"/>
      <c r="C49" s="112"/>
      <c r="D49" s="112"/>
      <c r="E49" s="112"/>
      <c r="F49" s="112"/>
      <c r="G49" s="112"/>
      <c r="H49" s="112"/>
      <c r="I49" s="112"/>
      <c r="J49" s="11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112"/>
      <c r="C50" s="112"/>
      <c r="D50" s="112"/>
      <c r="E50" s="112"/>
      <c r="F50" s="112"/>
      <c r="G50" s="112"/>
      <c r="H50" s="112"/>
      <c r="I50" s="112"/>
      <c r="J50" s="11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112"/>
      <c r="C51" s="112"/>
      <c r="D51" s="112"/>
      <c r="E51" s="112"/>
      <c r="F51" s="112"/>
      <c r="G51" s="112"/>
      <c r="H51" s="112"/>
      <c r="I51" s="112"/>
      <c r="J51" s="11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112"/>
      <c r="C52" s="112"/>
      <c r="D52" s="112"/>
      <c r="E52" s="112"/>
      <c r="F52" s="112"/>
      <c r="G52" s="112"/>
      <c r="H52" s="112"/>
      <c r="I52" s="112"/>
      <c r="J52" s="11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112"/>
      <c r="C53" s="112"/>
      <c r="D53" s="112"/>
      <c r="E53" s="112"/>
      <c r="F53" s="112"/>
      <c r="G53" s="112"/>
      <c r="H53" s="112"/>
      <c r="I53" s="112"/>
      <c r="J53" s="11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112"/>
      <c r="C54" s="112"/>
      <c r="D54" s="112"/>
      <c r="E54" s="112"/>
      <c r="F54" s="112"/>
      <c r="G54" s="112"/>
      <c r="H54" s="112"/>
      <c r="I54" s="112"/>
      <c r="J54" s="11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112"/>
      <c r="C55" s="112"/>
      <c r="D55" s="112"/>
      <c r="E55" s="112"/>
      <c r="F55" s="112"/>
      <c r="G55" s="112"/>
      <c r="H55" s="112"/>
      <c r="I55" s="112"/>
      <c r="J55" s="11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112"/>
      <c r="C56" s="112"/>
      <c r="D56" s="112"/>
      <c r="E56" s="112"/>
      <c r="F56" s="112"/>
      <c r="G56" s="112"/>
      <c r="H56" s="112"/>
      <c r="I56" s="112"/>
      <c r="J56" s="11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112"/>
      <c r="C57" s="112"/>
      <c r="D57" s="112"/>
      <c r="E57" s="112"/>
      <c r="F57" s="112"/>
      <c r="G57" s="112"/>
      <c r="H57" s="112"/>
      <c r="I57" s="112"/>
      <c r="J57" s="11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112"/>
      <c r="C58" s="112"/>
      <c r="D58" s="112"/>
      <c r="E58" s="112"/>
      <c r="F58" s="112"/>
      <c r="G58" s="112"/>
      <c r="H58" s="112"/>
      <c r="I58" s="112"/>
      <c r="J58" s="11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112"/>
      <c r="C59" s="112"/>
      <c r="D59" s="112"/>
      <c r="E59" s="112"/>
      <c r="F59" s="112"/>
      <c r="G59" s="112"/>
      <c r="H59" s="112"/>
      <c r="I59" s="112"/>
      <c r="J59" s="11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112"/>
      <c r="C60" s="112"/>
      <c r="D60" s="112"/>
      <c r="E60" s="112"/>
      <c r="F60" s="112"/>
      <c r="G60" s="112"/>
      <c r="H60" s="112"/>
      <c r="I60" s="112"/>
      <c r="J60" s="11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112"/>
      <c r="C61" s="112"/>
      <c r="D61" s="112"/>
      <c r="E61" s="112"/>
      <c r="F61" s="112"/>
      <c r="G61" s="112"/>
      <c r="H61" s="112"/>
      <c r="I61" s="112"/>
      <c r="J61" s="11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112"/>
      <c r="C62" s="112"/>
      <c r="D62" s="112"/>
      <c r="E62" s="112"/>
      <c r="F62" s="112"/>
      <c r="G62" s="112"/>
      <c r="H62" s="112"/>
      <c r="I62" s="112"/>
      <c r="J62" s="11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112"/>
      <c r="C63" s="112"/>
      <c r="D63" s="112"/>
      <c r="E63" s="112"/>
      <c r="F63" s="112"/>
      <c r="G63" s="112"/>
      <c r="H63" s="112"/>
      <c r="I63" s="112"/>
      <c r="J63" s="11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112"/>
      <c r="C64" s="112"/>
      <c r="D64" s="112"/>
      <c r="E64" s="112"/>
      <c r="F64" s="112"/>
      <c r="G64" s="112"/>
      <c r="H64" s="112"/>
      <c r="I64" s="112"/>
      <c r="J64" s="11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112"/>
      <c r="C65" s="112"/>
      <c r="D65" s="112"/>
      <c r="E65" s="112"/>
      <c r="F65" s="112"/>
      <c r="G65" s="112"/>
      <c r="H65" s="112"/>
      <c r="I65" s="112"/>
      <c r="J65" s="11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112"/>
      <c r="C66" s="112"/>
      <c r="D66" s="112"/>
      <c r="E66" s="112"/>
      <c r="F66" s="112"/>
      <c r="G66" s="112"/>
      <c r="H66" s="112"/>
      <c r="I66" s="112"/>
      <c r="J66" s="11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112"/>
      <c r="C67" s="112"/>
      <c r="D67" s="112"/>
      <c r="E67" s="112"/>
      <c r="F67" s="112"/>
      <c r="G67" s="112"/>
      <c r="H67" s="112"/>
      <c r="I67" s="112"/>
      <c r="J67" s="11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112"/>
      <c r="C68" s="112"/>
      <c r="D68" s="112"/>
      <c r="E68" s="112"/>
      <c r="F68" s="112"/>
      <c r="G68" s="112"/>
      <c r="H68" s="112"/>
      <c r="I68" s="112"/>
      <c r="J68" s="11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112"/>
      <c r="C69" s="112"/>
      <c r="D69" s="112"/>
      <c r="E69" s="112"/>
      <c r="F69" s="112"/>
      <c r="G69" s="112"/>
      <c r="H69" s="112"/>
      <c r="I69" s="112"/>
      <c r="J69" s="11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112"/>
      <c r="C70" s="112"/>
      <c r="D70" s="112"/>
      <c r="E70" s="112"/>
      <c r="F70" s="112"/>
      <c r="G70" s="112"/>
      <c r="H70" s="112"/>
      <c r="I70" s="112"/>
      <c r="J70" s="11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112"/>
      <c r="C71" s="112"/>
      <c r="D71" s="112"/>
      <c r="E71" s="112"/>
      <c r="F71" s="112"/>
      <c r="G71" s="112"/>
      <c r="H71" s="112"/>
      <c r="I71" s="112"/>
      <c r="J71" s="11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A72" s="3"/>
      <c r="B72" s="112"/>
      <c r="C72" s="112"/>
      <c r="D72" s="112"/>
      <c r="E72" s="112"/>
      <c r="F72" s="112"/>
      <c r="G72" s="112"/>
      <c r="H72" s="112"/>
      <c r="I72" s="112"/>
      <c r="J72" s="11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x14ac:dyDescent="0.25">
      <c r="A73" s="3"/>
      <c r="B73" s="112"/>
      <c r="C73" s="112"/>
      <c r="D73" s="112"/>
      <c r="E73" s="112"/>
      <c r="F73" s="112"/>
      <c r="G73" s="112"/>
      <c r="H73" s="112"/>
      <c r="I73" s="112"/>
      <c r="J73" s="11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x14ac:dyDescent="0.25">
      <c r="A74" s="3"/>
      <c r="B74" s="112"/>
      <c r="C74" s="112"/>
      <c r="D74" s="112"/>
      <c r="E74" s="112"/>
      <c r="F74" s="112"/>
      <c r="G74" s="112"/>
      <c r="H74" s="112"/>
      <c r="I74" s="112"/>
      <c r="J74" s="11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x14ac:dyDescent="0.25">
      <c r="A75" s="3"/>
      <c r="B75" s="112"/>
      <c r="C75" s="112"/>
      <c r="D75" s="112"/>
      <c r="E75" s="112"/>
      <c r="F75" s="112"/>
      <c r="G75" s="112"/>
      <c r="H75" s="112"/>
      <c r="I75" s="112"/>
      <c r="J75" s="11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x14ac:dyDescent="0.25">
      <c r="A76" s="3"/>
      <c r="B76" s="112"/>
      <c r="C76" s="112"/>
      <c r="D76" s="112"/>
      <c r="E76" s="112"/>
      <c r="F76" s="112"/>
      <c r="G76" s="112"/>
      <c r="H76" s="112"/>
      <c r="I76" s="112"/>
      <c r="J76" s="11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x14ac:dyDescent="0.25">
      <c r="A77" s="3"/>
      <c r="B77" s="112"/>
      <c r="C77" s="112"/>
      <c r="D77" s="112"/>
      <c r="E77" s="112"/>
      <c r="F77" s="112"/>
      <c r="G77" s="112"/>
      <c r="H77" s="112"/>
      <c r="I77" s="112"/>
      <c r="J77" s="11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x14ac:dyDescent="0.25">
      <c r="A78" s="3"/>
      <c r="B78" s="112"/>
      <c r="C78" s="112"/>
      <c r="D78" s="112"/>
      <c r="E78" s="112"/>
      <c r="F78" s="112"/>
      <c r="G78" s="112"/>
      <c r="H78" s="112"/>
      <c r="I78" s="112"/>
      <c r="J78" s="11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x14ac:dyDescent="0.25">
      <c r="A79" s="3"/>
      <c r="B79" s="112"/>
      <c r="C79" s="112"/>
      <c r="D79" s="112"/>
      <c r="E79" s="112"/>
      <c r="F79" s="112"/>
      <c r="G79" s="112"/>
      <c r="H79" s="112"/>
      <c r="I79" s="112"/>
      <c r="J79" s="11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x14ac:dyDescent="0.25">
      <c r="A80" s="3"/>
      <c r="B80" s="112"/>
      <c r="C80" s="112"/>
      <c r="D80" s="112"/>
      <c r="E80" s="112"/>
      <c r="F80" s="112"/>
      <c r="G80" s="112"/>
      <c r="H80" s="112"/>
      <c r="I80" s="112"/>
      <c r="J80" s="11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25">
      <c r="A81" s="3"/>
      <c r="B81" s="112"/>
      <c r="C81" s="112"/>
      <c r="D81" s="112"/>
      <c r="E81" s="112"/>
      <c r="F81" s="112"/>
      <c r="G81" s="112"/>
      <c r="H81" s="112"/>
      <c r="I81" s="112"/>
      <c r="J81" s="11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x14ac:dyDescent="0.25">
      <c r="A82" s="3"/>
      <c r="B82" s="112"/>
      <c r="C82" s="112"/>
      <c r="D82" s="112"/>
      <c r="E82" s="112"/>
      <c r="F82" s="112"/>
      <c r="G82" s="112"/>
      <c r="H82" s="112"/>
      <c r="I82" s="112"/>
      <c r="J82" s="11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x14ac:dyDescent="0.25">
      <c r="A83" s="3"/>
      <c r="B83" s="112"/>
      <c r="C83" s="112"/>
      <c r="D83" s="112"/>
      <c r="E83" s="112"/>
      <c r="F83" s="112"/>
      <c r="G83" s="112"/>
      <c r="H83" s="112"/>
      <c r="I83" s="112"/>
      <c r="J83" s="11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x14ac:dyDescent="0.25">
      <c r="A84" s="3"/>
      <c r="B84" s="112"/>
      <c r="C84" s="112"/>
      <c r="D84" s="112"/>
      <c r="E84" s="112"/>
      <c r="F84" s="112"/>
      <c r="G84" s="112"/>
      <c r="H84" s="112"/>
      <c r="I84" s="112"/>
      <c r="J84" s="11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x14ac:dyDescent="0.25">
      <c r="A85" s="3"/>
      <c r="B85" s="112"/>
      <c r="C85" s="112"/>
      <c r="D85" s="112"/>
      <c r="E85" s="112"/>
      <c r="F85" s="112"/>
      <c r="G85" s="112"/>
      <c r="H85" s="112"/>
      <c r="I85" s="112"/>
      <c r="J85" s="11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x14ac:dyDescent="0.25">
      <c r="A86" s="3"/>
      <c r="B86" s="112"/>
      <c r="C86" s="112"/>
      <c r="D86" s="112"/>
      <c r="E86" s="112"/>
      <c r="F86" s="112"/>
      <c r="G86" s="112"/>
      <c r="H86" s="112"/>
      <c r="I86" s="112"/>
      <c r="J86" s="11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x14ac:dyDescent="0.25">
      <c r="A87" s="3"/>
      <c r="B87" s="112"/>
      <c r="C87" s="112"/>
      <c r="D87" s="112"/>
      <c r="E87" s="112"/>
      <c r="F87" s="112"/>
      <c r="G87" s="112"/>
      <c r="H87" s="112"/>
      <c r="I87" s="112"/>
      <c r="J87" s="11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x14ac:dyDescent="0.25">
      <c r="A88" s="3"/>
      <c r="B88" s="112"/>
      <c r="C88" s="112"/>
      <c r="D88" s="112"/>
      <c r="E88" s="112"/>
      <c r="F88" s="112"/>
      <c r="G88" s="112"/>
      <c r="H88" s="112"/>
      <c r="I88" s="112"/>
      <c r="J88" s="11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x14ac:dyDescent="0.25">
      <c r="A89" s="3"/>
      <c r="B89" s="112"/>
      <c r="C89" s="112"/>
      <c r="D89" s="112"/>
      <c r="E89" s="112"/>
      <c r="F89" s="112"/>
      <c r="G89" s="112"/>
      <c r="H89" s="112"/>
      <c r="I89" s="112"/>
      <c r="J89" s="11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x14ac:dyDescent="0.25">
      <c r="A90" s="3"/>
      <c r="B90" s="112"/>
      <c r="C90" s="112"/>
      <c r="D90" s="112"/>
      <c r="E90" s="112"/>
      <c r="F90" s="112"/>
      <c r="G90" s="112"/>
      <c r="H90" s="112"/>
      <c r="I90" s="112"/>
      <c r="J90" s="11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x14ac:dyDescent="0.25">
      <c r="A91" s="3"/>
      <c r="B91" s="112"/>
      <c r="C91" s="112"/>
      <c r="D91" s="112"/>
      <c r="E91" s="112"/>
      <c r="F91" s="112"/>
      <c r="G91" s="112"/>
      <c r="H91" s="112"/>
      <c r="I91" s="112"/>
      <c r="J91" s="11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x14ac:dyDescent="0.25">
      <c r="A92" s="3"/>
      <c r="B92" s="112"/>
      <c r="C92" s="112"/>
      <c r="D92" s="112"/>
      <c r="E92" s="112"/>
      <c r="F92" s="112"/>
      <c r="G92" s="112"/>
      <c r="H92" s="112"/>
      <c r="I92" s="112"/>
      <c r="J92" s="11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x14ac:dyDescent="0.25">
      <c r="A93" s="3"/>
      <c r="B93" s="112"/>
      <c r="C93" s="112"/>
      <c r="D93" s="112"/>
      <c r="E93" s="112"/>
      <c r="F93" s="112"/>
      <c r="G93" s="112"/>
      <c r="H93" s="112"/>
      <c r="I93" s="112"/>
      <c r="J93" s="11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x14ac:dyDescent="0.25">
      <c r="A94" s="3"/>
      <c r="B94" s="112"/>
      <c r="C94" s="112"/>
      <c r="D94" s="112"/>
      <c r="E94" s="112"/>
      <c r="F94" s="112"/>
      <c r="G94" s="112"/>
      <c r="H94" s="112"/>
      <c r="I94" s="112"/>
      <c r="J94" s="11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x14ac:dyDescent="0.25">
      <c r="A95" s="3"/>
      <c r="B95" s="112"/>
      <c r="C95" s="112"/>
      <c r="D95" s="112"/>
      <c r="E95" s="112"/>
      <c r="F95" s="112"/>
      <c r="G95" s="112"/>
      <c r="H95" s="112"/>
      <c r="I95" s="112"/>
      <c r="J95" s="11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x14ac:dyDescent="0.25">
      <c r="A96" s="3"/>
      <c r="B96" s="112"/>
      <c r="C96" s="112"/>
      <c r="D96" s="112"/>
      <c r="E96" s="112"/>
      <c r="F96" s="112"/>
      <c r="G96" s="112"/>
      <c r="H96" s="112"/>
      <c r="I96" s="112"/>
      <c r="J96" s="11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x14ac:dyDescent="0.25">
      <c r="A97" s="3"/>
      <c r="B97" s="112"/>
      <c r="C97" s="112"/>
      <c r="D97" s="112"/>
      <c r="E97" s="112"/>
      <c r="F97" s="112"/>
      <c r="G97" s="112"/>
      <c r="H97" s="112"/>
      <c r="I97" s="112"/>
      <c r="J97" s="11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x14ac:dyDescent="0.25">
      <c r="A98" s="3"/>
      <c r="B98" s="112"/>
      <c r="C98" s="112"/>
      <c r="D98" s="112"/>
      <c r="E98" s="112"/>
      <c r="F98" s="112"/>
      <c r="G98" s="112"/>
      <c r="H98" s="112"/>
      <c r="I98" s="112"/>
      <c r="J98" s="11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x14ac:dyDescent="0.25">
      <c r="A99" s="3"/>
      <c r="B99" s="112"/>
      <c r="C99" s="112"/>
      <c r="D99" s="112"/>
      <c r="E99" s="112"/>
      <c r="F99" s="112"/>
      <c r="G99" s="112"/>
      <c r="H99" s="112"/>
      <c r="I99" s="112"/>
      <c r="J99" s="11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x14ac:dyDescent="0.25">
      <c r="A100" s="3"/>
      <c r="B100" s="112"/>
      <c r="C100" s="112"/>
      <c r="D100" s="112"/>
      <c r="E100" s="112"/>
      <c r="F100" s="112"/>
      <c r="G100" s="112"/>
      <c r="H100" s="112"/>
      <c r="I100" s="112"/>
      <c r="J100" s="11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x14ac:dyDescent="0.25">
      <c r="A101" s="3"/>
      <c r="B101" s="112"/>
      <c r="C101" s="112"/>
      <c r="D101" s="112"/>
      <c r="E101" s="112"/>
      <c r="F101" s="112"/>
      <c r="G101" s="112"/>
      <c r="H101" s="112"/>
      <c r="I101" s="112"/>
      <c r="J101" s="11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x14ac:dyDescent="0.25">
      <c r="A102" s="3"/>
      <c r="B102" s="112"/>
      <c r="C102" s="112"/>
      <c r="D102" s="112"/>
      <c r="E102" s="112"/>
      <c r="F102" s="112"/>
      <c r="G102" s="112"/>
      <c r="H102" s="112"/>
      <c r="I102" s="112"/>
      <c r="J102" s="11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x14ac:dyDescent="0.25">
      <c r="A103" s="3"/>
      <c r="B103" s="112"/>
      <c r="C103" s="112"/>
      <c r="D103" s="112"/>
      <c r="E103" s="112"/>
      <c r="F103" s="112"/>
      <c r="G103" s="112"/>
      <c r="H103" s="112"/>
      <c r="I103" s="112"/>
      <c r="J103" s="11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x14ac:dyDescent="0.25">
      <c r="A104" s="3"/>
      <c r="B104" s="112"/>
      <c r="C104" s="112"/>
      <c r="D104" s="112"/>
      <c r="E104" s="112"/>
      <c r="F104" s="112"/>
      <c r="G104" s="112"/>
      <c r="H104" s="112"/>
      <c r="I104" s="112"/>
      <c r="J104" s="11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x14ac:dyDescent="0.25">
      <c r="A105" s="3"/>
      <c r="B105" s="112"/>
      <c r="C105" s="112"/>
      <c r="D105" s="112"/>
      <c r="E105" s="112"/>
      <c r="F105" s="112"/>
      <c r="G105" s="112"/>
      <c r="H105" s="112"/>
      <c r="I105" s="112"/>
      <c r="J105" s="11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x14ac:dyDescent="0.25">
      <c r="A106" s="3"/>
      <c r="B106" s="112"/>
      <c r="C106" s="112"/>
      <c r="D106" s="112"/>
      <c r="E106" s="112"/>
      <c r="F106" s="112"/>
      <c r="G106" s="112"/>
      <c r="H106" s="112"/>
      <c r="I106" s="112"/>
      <c r="J106" s="11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x14ac:dyDescent="0.25">
      <c r="A107" s="3"/>
      <c r="B107" s="112"/>
      <c r="C107" s="112"/>
      <c r="D107" s="112"/>
      <c r="E107" s="112"/>
      <c r="F107" s="112"/>
      <c r="G107" s="112"/>
      <c r="H107" s="112"/>
      <c r="I107" s="112"/>
      <c r="J107" s="11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x14ac:dyDescent="0.25">
      <c r="A108" s="3"/>
      <c r="B108" s="112"/>
      <c r="C108" s="112"/>
      <c r="D108" s="112"/>
      <c r="E108" s="112"/>
      <c r="F108" s="112"/>
      <c r="G108" s="112"/>
      <c r="H108" s="112"/>
      <c r="I108" s="112"/>
      <c r="J108" s="11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x14ac:dyDescent="0.25">
      <c r="A109" s="3"/>
      <c r="B109" s="112"/>
      <c r="C109" s="112"/>
      <c r="D109" s="112"/>
      <c r="E109" s="112"/>
      <c r="F109" s="112"/>
      <c r="G109" s="112"/>
      <c r="H109" s="112"/>
      <c r="I109" s="112"/>
      <c r="J109" s="11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x14ac:dyDescent="0.25">
      <c r="A110" s="3"/>
      <c r="B110" s="112"/>
      <c r="C110" s="112"/>
      <c r="D110" s="112"/>
      <c r="E110" s="112"/>
      <c r="F110" s="112"/>
      <c r="G110" s="112"/>
      <c r="H110" s="112"/>
      <c r="I110" s="112"/>
      <c r="J110" s="11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x14ac:dyDescent="0.25">
      <c r="A111" s="3"/>
      <c r="B111" s="112"/>
      <c r="C111" s="112"/>
      <c r="D111" s="112"/>
      <c r="E111" s="112"/>
      <c r="F111" s="112"/>
      <c r="G111" s="112"/>
      <c r="H111" s="112"/>
      <c r="I111" s="112"/>
      <c r="J111" s="11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x14ac:dyDescent="0.25">
      <c r="A112" s="3"/>
      <c r="B112" s="112"/>
      <c r="C112" s="112"/>
      <c r="D112" s="112"/>
      <c r="E112" s="112"/>
      <c r="F112" s="112"/>
      <c r="G112" s="112"/>
      <c r="H112" s="112"/>
      <c r="I112" s="112"/>
      <c r="J112" s="11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x14ac:dyDescent="0.25">
      <c r="A113" s="3"/>
      <c r="B113" s="112"/>
      <c r="C113" s="112"/>
      <c r="D113" s="112"/>
      <c r="E113" s="112"/>
      <c r="F113" s="112"/>
      <c r="G113" s="112"/>
      <c r="H113" s="112"/>
      <c r="I113" s="112"/>
      <c r="J113" s="11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x14ac:dyDescent="0.25">
      <c r="A114" s="3"/>
      <c r="B114" s="112"/>
      <c r="C114" s="112"/>
      <c r="D114" s="112"/>
      <c r="E114" s="112"/>
      <c r="F114" s="112"/>
      <c r="G114" s="112"/>
      <c r="H114" s="112"/>
      <c r="I114" s="112"/>
      <c r="J114" s="11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x14ac:dyDescent="0.25">
      <c r="A115" s="3"/>
      <c r="B115" s="112"/>
      <c r="C115" s="112"/>
      <c r="D115" s="112"/>
      <c r="E115" s="112"/>
      <c r="F115" s="112"/>
      <c r="G115" s="112"/>
      <c r="H115" s="112"/>
      <c r="I115" s="112"/>
      <c r="J115" s="11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x14ac:dyDescent="0.25">
      <c r="A116" s="3"/>
      <c r="B116" s="112"/>
      <c r="C116" s="112"/>
      <c r="D116" s="112"/>
      <c r="E116" s="112"/>
      <c r="F116" s="112"/>
      <c r="G116" s="112"/>
      <c r="H116" s="112"/>
      <c r="I116" s="112"/>
      <c r="J116" s="11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x14ac:dyDescent="0.25">
      <c r="A117" s="3"/>
      <c r="B117" s="112"/>
      <c r="C117" s="112"/>
      <c r="D117" s="112"/>
      <c r="E117" s="112"/>
      <c r="F117" s="112"/>
      <c r="G117" s="112"/>
      <c r="H117" s="112"/>
      <c r="I117" s="112"/>
      <c r="J117" s="11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x14ac:dyDescent="0.25">
      <c r="A118" s="3"/>
      <c r="B118" s="112"/>
      <c r="C118" s="112"/>
      <c r="D118" s="112"/>
      <c r="E118" s="112"/>
      <c r="F118" s="112"/>
      <c r="G118" s="112"/>
      <c r="H118" s="112"/>
      <c r="I118" s="112"/>
      <c r="J118" s="11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x14ac:dyDescent="0.25">
      <c r="A119" s="3"/>
      <c r="B119" s="112"/>
      <c r="C119" s="112"/>
      <c r="D119" s="112"/>
      <c r="E119" s="112"/>
      <c r="F119" s="112"/>
      <c r="G119" s="112"/>
      <c r="H119" s="112"/>
      <c r="I119" s="112"/>
      <c r="J119" s="11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x14ac:dyDescent="0.25">
      <c r="A120" s="3"/>
      <c r="B120" s="112"/>
      <c r="C120" s="112"/>
      <c r="D120" s="112"/>
      <c r="E120" s="112"/>
      <c r="F120" s="112"/>
      <c r="G120" s="112"/>
      <c r="H120" s="112"/>
      <c r="I120" s="112"/>
      <c r="J120" s="11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x14ac:dyDescent="0.25">
      <c r="A121" s="3"/>
      <c r="B121" s="112"/>
      <c r="C121" s="112"/>
      <c r="D121" s="112"/>
      <c r="E121" s="112"/>
      <c r="F121" s="112"/>
      <c r="G121" s="112"/>
      <c r="H121" s="112"/>
      <c r="I121" s="112"/>
      <c r="J121" s="11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x14ac:dyDescent="0.25">
      <c r="A122" s="3"/>
      <c r="B122" s="112"/>
      <c r="C122" s="112"/>
      <c r="D122" s="112"/>
      <c r="E122" s="112"/>
      <c r="F122" s="112"/>
      <c r="G122" s="112"/>
      <c r="H122" s="112"/>
      <c r="I122" s="112"/>
      <c r="J122" s="11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x14ac:dyDescent="0.25">
      <c r="A123" s="3"/>
      <c r="B123" s="112"/>
      <c r="C123" s="112"/>
      <c r="D123" s="112"/>
      <c r="E123" s="112"/>
      <c r="F123" s="112"/>
      <c r="G123" s="112"/>
      <c r="H123" s="112"/>
      <c r="I123" s="112"/>
      <c r="J123" s="11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x14ac:dyDescent="0.25">
      <c r="A124" s="3"/>
      <c r="B124" s="112"/>
      <c r="C124" s="112"/>
      <c r="D124" s="112"/>
      <c r="E124" s="112"/>
      <c r="F124" s="112"/>
      <c r="G124" s="112"/>
      <c r="H124" s="112"/>
      <c r="I124" s="112"/>
      <c r="J124" s="11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x14ac:dyDescent="0.25">
      <c r="A125" s="3"/>
      <c r="B125" s="112"/>
      <c r="C125" s="112"/>
      <c r="D125" s="112"/>
      <c r="E125" s="112"/>
      <c r="F125" s="112"/>
      <c r="G125" s="112"/>
      <c r="H125" s="112"/>
      <c r="I125" s="112"/>
      <c r="J125" s="11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x14ac:dyDescent="0.25">
      <c r="A126" s="3"/>
      <c r="B126" s="112"/>
      <c r="C126" s="112"/>
      <c r="D126" s="112"/>
      <c r="E126" s="112"/>
      <c r="F126" s="112"/>
      <c r="G126" s="112"/>
      <c r="H126" s="112"/>
      <c r="I126" s="112"/>
      <c r="J126" s="11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x14ac:dyDescent="0.25">
      <c r="A127" s="3"/>
      <c r="B127" s="112"/>
      <c r="C127" s="112"/>
      <c r="D127" s="112"/>
      <c r="E127" s="112"/>
      <c r="F127" s="112"/>
      <c r="G127" s="112"/>
      <c r="H127" s="112"/>
      <c r="I127" s="112"/>
      <c r="J127" s="11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x14ac:dyDescent="0.25">
      <c r="A128" s="3"/>
      <c r="B128" s="112"/>
      <c r="C128" s="112"/>
      <c r="D128" s="112"/>
      <c r="E128" s="112"/>
      <c r="F128" s="112"/>
      <c r="G128" s="112"/>
      <c r="H128" s="112"/>
      <c r="I128" s="112"/>
      <c r="J128" s="11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x14ac:dyDescent="0.25">
      <c r="A129" s="3"/>
      <c r="B129" s="112"/>
      <c r="C129" s="112"/>
      <c r="D129" s="112"/>
      <c r="E129" s="112"/>
      <c r="F129" s="112"/>
      <c r="G129" s="112"/>
      <c r="H129" s="112"/>
      <c r="I129" s="112"/>
      <c r="J129" s="11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x14ac:dyDescent="0.25">
      <c r="A130" s="3"/>
      <c r="B130" s="112"/>
      <c r="C130" s="112"/>
      <c r="D130" s="112"/>
      <c r="E130" s="112"/>
      <c r="F130" s="112"/>
      <c r="G130" s="112"/>
      <c r="H130" s="112"/>
      <c r="I130" s="112"/>
      <c r="J130" s="11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x14ac:dyDescent="0.25">
      <c r="A131" s="3"/>
      <c r="B131" s="112"/>
      <c r="C131" s="112"/>
      <c r="D131" s="112"/>
      <c r="E131" s="112"/>
      <c r="F131" s="112"/>
      <c r="G131" s="112"/>
      <c r="H131" s="112"/>
      <c r="I131" s="112"/>
      <c r="J131" s="11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x14ac:dyDescent="0.25">
      <c r="A132" s="3"/>
      <c r="B132" s="112"/>
      <c r="C132" s="112"/>
      <c r="D132" s="112"/>
      <c r="E132" s="112"/>
      <c r="F132" s="112"/>
      <c r="G132" s="112"/>
      <c r="H132" s="112"/>
      <c r="I132" s="112"/>
      <c r="J132" s="11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x14ac:dyDescent="0.25">
      <c r="A133" s="3"/>
      <c r="B133" s="112"/>
      <c r="C133" s="112"/>
      <c r="D133" s="112"/>
      <c r="E133" s="112"/>
      <c r="F133" s="112"/>
      <c r="G133" s="112"/>
      <c r="H133" s="112"/>
      <c r="I133" s="112"/>
      <c r="J133" s="11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x14ac:dyDescent="0.25">
      <c r="A134" s="3"/>
      <c r="B134" s="112"/>
      <c r="C134" s="112"/>
      <c r="D134" s="112"/>
      <c r="E134" s="112"/>
      <c r="F134" s="112"/>
      <c r="G134" s="112"/>
      <c r="H134" s="112"/>
      <c r="I134" s="112"/>
      <c r="J134" s="11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x14ac:dyDescent="0.25">
      <c r="A135" s="3"/>
      <c r="B135" s="112"/>
      <c r="C135" s="112"/>
      <c r="D135" s="112"/>
      <c r="E135" s="112"/>
      <c r="F135" s="112"/>
      <c r="G135" s="112"/>
      <c r="H135" s="112"/>
      <c r="I135" s="112"/>
      <c r="J135" s="11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x14ac:dyDescent="0.25">
      <c r="A136" s="3"/>
      <c r="B136" s="112"/>
      <c r="C136" s="112"/>
      <c r="D136" s="112"/>
      <c r="E136" s="112"/>
      <c r="F136" s="112"/>
      <c r="G136" s="112"/>
      <c r="H136" s="112"/>
      <c r="I136" s="112"/>
      <c r="J136" s="11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x14ac:dyDescent="0.25">
      <c r="A137" s="3"/>
      <c r="B137" s="112"/>
      <c r="C137" s="112"/>
      <c r="D137" s="112"/>
      <c r="E137" s="112"/>
      <c r="F137" s="112"/>
      <c r="G137" s="112"/>
      <c r="H137" s="112"/>
      <c r="I137" s="112"/>
      <c r="J137" s="11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x14ac:dyDescent="0.25">
      <c r="A138" s="3"/>
      <c r="B138" s="112"/>
      <c r="C138" s="112"/>
      <c r="D138" s="112"/>
      <c r="E138" s="112"/>
      <c r="F138" s="112"/>
      <c r="G138" s="112"/>
      <c r="H138" s="112"/>
      <c r="I138" s="112"/>
      <c r="J138" s="11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x14ac:dyDescent="0.25">
      <c r="A139" s="3"/>
      <c r="B139" s="112"/>
      <c r="C139" s="112"/>
      <c r="D139" s="112"/>
      <c r="E139" s="112"/>
      <c r="F139" s="112"/>
      <c r="G139" s="112"/>
      <c r="H139" s="112"/>
      <c r="I139" s="112"/>
      <c r="J139" s="11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x14ac:dyDescent="0.25">
      <c r="A140" s="3"/>
      <c r="B140" s="112"/>
      <c r="C140" s="112"/>
      <c r="D140" s="112"/>
      <c r="E140" s="112"/>
      <c r="F140" s="112"/>
      <c r="G140" s="112"/>
      <c r="H140" s="112"/>
      <c r="I140" s="112"/>
      <c r="J140" s="11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x14ac:dyDescent="0.25">
      <c r="A141" s="3"/>
      <c r="B141" s="112"/>
      <c r="C141" s="112"/>
      <c r="D141" s="112"/>
      <c r="E141" s="112"/>
      <c r="F141" s="112"/>
      <c r="G141" s="112"/>
      <c r="H141" s="112"/>
      <c r="I141" s="112"/>
      <c r="J141" s="11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x14ac:dyDescent="0.25">
      <c r="A142" s="3"/>
      <c r="B142" s="112"/>
      <c r="C142" s="112"/>
      <c r="D142" s="112"/>
      <c r="E142" s="112"/>
      <c r="F142" s="112"/>
      <c r="G142" s="112"/>
      <c r="H142" s="112"/>
      <c r="I142" s="112"/>
      <c r="J142" s="11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x14ac:dyDescent="0.25">
      <c r="A143" s="3"/>
      <c r="B143" s="112"/>
      <c r="C143" s="112"/>
      <c r="D143" s="112"/>
      <c r="E143" s="112"/>
      <c r="F143" s="112"/>
      <c r="G143" s="112"/>
      <c r="H143" s="112"/>
      <c r="I143" s="112"/>
      <c r="J143" s="11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x14ac:dyDescent="0.25">
      <c r="A144" s="3"/>
      <c r="B144" s="112"/>
      <c r="C144" s="112"/>
      <c r="D144" s="112"/>
      <c r="E144" s="112"/>
      <c r="F144" s="112"/>
      <c r="G144" s="112"/>
      <c r="H144" s="112"/>
      <c r="I144" s="112"/>
      <c r="J144" s="11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x14ac:dyDescent="0.25">
      <c r="A145" s="3"/>
      <c r="B145" s="112"/>
      <c r="C145" s="112"/>
      <c r="D145" s="112"/>
      <c r="E145" s="112"/>
      <c r="F145" s="112"/>
      <c r="G145" s="112"/>
      <c r="H145" s="112"/>
      <c r="I145" s="112"/>
      <c r="J145" s="11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x14ac:dyDescent="0.25">
      <c r="A146" s="3"/>
      <c r="B146" s="112"/>
      <c r="C146" s="112"/>
      <c r="D146" s="112"/>
      <c r="E146" s="112"/>
      <c r="F146" s="112"/>
      <c r="G146" s="112"/>
      <c r="H146" s="112"/>
      <c r="I146" s="112"/>
      <c r="J146" s="11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x14ac:dyDescent="0.25">
      <c r="A147" s="3"/>
      <c r="B147" s="112"/>
      <c r="C147" s="112"/>
      <c r="D147" s="112"/>
      <c r="E147" s="112"/>
      <c r="F147" s="112"/>
      <c r="G147" s="112"/>
      <c r="H147" s="112"/>
      <c r="I147" s="112"/>
      <c r="J147" s="11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x14ac:dyDescent="0.25">
      <c r="A148" s="3"/>
      <c r="B148" s="112"/>
      <c r="C148" s="112"/>
      <c r="D148" s="112"/>
      <c r="E148" s="112"/>
      <c r="F148" s="112"/>
      <c r="G148" s="112"/>
      <c r="H148" s="112"/>
      <c r="I148" s="112"/>
      <c r="J148" s="11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x14ac:dyDescent="0.25">
      <c r="A149" s="3"/>
      <c r="B149" s="112"/>
      <c r="C149" s="112"/>
      <c r="D149" s="112"/>
      <c r="E149" s="112"/>
      <c r="F149" s="112"/>
      <c r="G149" s="112"/>
      <c r="H149" s="112"/>
      <c r="I149" s="112"/>
      <c r="J149" s="11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x14ac:dyDescent="0.25">
      <c r="A150" s="3"/>
      <c r="B150" s="112"/>
      <c r="C150" s="112"/>
      <c r="D150" s="112"/>
      <c r="E150" s="112"/>
      <c r="F150" s="112"/>
      <c r="G150" s="112"/>
      <c r="H150" s="112"/>
      <c r="I150" s="112"/>
      <c r="J150" s="11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x14ac:dyDescent="0.25">
      <c r="A151" s="3"/>
      <c r="B151" s="112"/>
      <c r="C151" s="112"/>
      <c r="D151" s="112"/>
      <c r="E151" s="112"/>
      <c r="F151" s="112"/>
      <c r="G151" s="112"/>
      <c r="H151" s="112"/>
      <c r="I151" s="112"/>
      <c r="J151" s="11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x14ac:dyDescent="0.25">
      <c r="A152" s="3"/>
      <c r="B152" s="112"/>
      <c r="C152" s="112"/>
      <c r="D152" s="112"/>
      <c r="E152" s="112"/>
      <c r="F152" s="112"/>
      <c r="G152" s="112"/>
      <c r="H152" s="112"/>
      <c r="I152" s="112"/>
      <c r="J152" s="11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x14ac:dyDescent="0.25">
      <c r="A153" s="3"/>
      <c r="B153" s="112"/>
      <c r="C153" s="112"/>
      <c r="D153" s="112"/>
      <c r="E153" s="112"/>
      <c r="F153" s="112"/>
      <c r="G153" s="112"/>
      <c r="H153" s="112"/>
      <c r="I153" s="112"/>
      <c r="J153" s="11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x14ac:dyDescent="0.25">
      <c r="A154" s="3"/>
      <c r="B154" s="112"/>
      <c r="C154" s="112"/>
      <c r="D154" s="112"/>
      <c r="E154" s="112"/>
      <c r="F154" s="112"/>
      <c r="G154" s="112"/>
      <c r="H154" s="112"/>
      <c r="I154" s="112"/>
      <c r="J154" s="11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x14ac:dyDescent="0.25">
      <c r="A155" s="3"/>
      <c r="B155" s="112"/>
      <c r="C155" s="112"/>
      <c r="D155" s="112"/>
      <c r="E155" s="112"/>
      <c r="F155" s="112"/>
      <c r="G155" s="112"/>
      <c r="H155" s="112"/>
      <c r="I155" s="112"/>
      <c r="J155" s="11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x14ac:dyDescent="0.25">
      <c r="A156" s="3"/>
      <c r="B156" s="112"/>
      <c r="C156" s="112"/>
      <c r="D156" s="112"/>
      <c r="E156" s="112"/>
      <c r="F156" s="112"/>
      <c r="G156" s="112"/>
      <c r="H156" s="112"/>
      <c r="I156" s="112"/>
      <c r="J156" s="11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x14ac:dyDescent="0.25">
      <c r="A157" s="3"/>
      <c r="B157" s="112"/>
      <c r="C157" s="112"/>
      <c r="D157" s="112"/>
      <c r="E157" s="112"/>
      <c r="F157" s="112"/>
      <c r="G157" s="112"/>
      <c r="H157" s="112"/>
      <c r="I157" s="112"/>
      <c r="J157" s="11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x14ac:dyDescent="0.25">
      <c r="A158" s="3"/>
      <c r="B158" s="112"/>
      <c r="C158" s="112"/>
      <c r="D158" s="112"/>
      <c r="E158" s="112"/>
      <c r="F158" s="112"/>
      <c r="G158" s="112"/>
      <c r="H158" s="112"/>
      <c r="I158" s="112"/>
      <c r="J158" s="11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x14ac:dyDescent="0.25">
      <c r="A159" s="3"/>
      <c r="B159" s="112"/>
      <c r="C159" s="112"/>
      <c r="D159" s="112"/>
      <c r="E159" s="112"/>
      <c r="F159" s="112"/>
      <c r="G159" s="112"/>
      <c r="H159" s="112"/>
      <c r="I159" s="112"/>
      <c r="J159" s="11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x14ac:dyDescent="0.25">
      <c r="A160" s="3"/>
      <c r="B160" s="112"/>
      <c r="C160" s="112"/>
      <c r="D160" s="112"/>
      <c r="E160" s="112"/>
      <c r="F160" s="112"/>
      <c r="G160" s="112"/>
      <c r="H160" s="112"/>
      <c r="I160" s="112"/>
      <c r="J160" s="11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x14ac:dyDescent="0.25">
      <c r="A161" s="3"/>
      <c r="B161" s="112"/>
      <c r="C161" s="112"/>
      <c r="D161" s="112"/>
      <c r="E161" s="112"/>
      <c r="F161" s="112"/>
      <c r="G161" s="112"/>
      <c r="H161" s="112"/>
      <c r="I161" s="112"/>
      <c r="J161" s="11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x14ac:dyDescent="0.25">
      <c r="A162" s="3"/>
      <c r="B162" s="112"/>
      <c r="C162" s="112"/>
      <c r="D162" s="112"/>
      <c r="E162" s="112"/>
      <c r="F162" s="112"/>
      <c r="G162" s="112"/>
      <c r="H162" s="112"/>
      <c r="I162" s="112"/>
      <c r="J162" s="11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x14ac:dyDescent="0.25">
      <c r="A163" s="3"/>
      <c r="B163" s="112"/>
      <c r="C163" s="112"/>
      <c r="D163" s="112"/>
      <c r="E163" s="112"/>
      <c r="F163" s="112"/>
      <c r="G163" s="112"/>
      <c r="H163" s="112"/>
      <c r="I163" s="112"/>
      <c r="J163" s="11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x14ac:dyDescent="0.25">
      <c r="A164" s="3"/>
      <c r="B164" s="112"/>
      <c r="C164" s="112"/>
      <c r="D164" s="112"/>
      <c r="E164" s="112"/>
      <c r="F164" s="112"/>
      <c r="G164" s="112"/>
      <c r="H164" s="112"/>
      <c r="I164" s="112"/>
      <c r="J164" s="11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x14ac:dyDescent="0.25">
      <c r="A165" s="3"/>
      <c r="B165" s="112"/>
      <c r="C165" s="112"/>
      <c r="D165" s="112"/>
      <c r="E165" s="112"/>
      <c r="F165" s="112"/>
      <c r="G165" s="112"/>
      <c r="H165" s="112"/>
      <c r="I165" s="112"/>
      <c r="J165" s="11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x14ac:dyDescent="0.25">
      <c r="A166" s="3"/>
      <c r="F166" s="112"/>
      <c r="G166" s="112"/>
      <c r="H166" s="112"/>
      <c r="I166" s="112"/>
      <c r="J166" s="11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x14ac:dyDescent="0.25">
      <c r="F167" s="112"/>
      <c r="G167" s="112"/>
      <c r="H167" s="112"/>
      <c r="I167" s="112"/>
      <c r="J167" s="112"/>
    </row>
    <row r="168" spans="1:41" x14ac:dyDescent="0.25">
      <c r="F168" s="112"/>
    </row>
    <row r="169" spans="1:41" x14ac:dyDescent="0.25">
      <c r="F169" s="112"/>
    </row>
  </sheetData>
  <mergeCells count="20">
    <mergeCell ref="B23:B30"/>
    <mergeCell ref="F3:H3"/>
    <mergeCell ref="I3:J3"/>
    <mergeCell ref="B22:E22"/>
    <mergeCell ref="G22:I22"/>
    <mergeCell ref="G15:J15"/>
    <mergeCell ref="B15:F15"/>
    <mergeCell ref="B13:C13"/>
    <mergeCell ref="B2:J2"/>
    <mergeCell ref="B3:E3"/>
    <mergeCell ref="B12:C12"/>
    <mergeCell ref="B14:C14"/>
    <mergeCell ref="B4:C4"/>
    <mergeCell ref="B10:C10"/>
    <mergeCell ref="B9:C9"/>
    <mergeCell ref="B8:C8"/>
    <mergeCell ref="B7:C7"/>
    <mergeCell ref="B6:C6"/>
    <mergeCell ref="B5:C5"/>
    <mergeCell ref="B11:C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opLeftCell="A22" zoomScale="80" zoomScaleNormal="80" zoomScalePageLayoutView="80" workbookViewId="0">
      <selection activeCell="C33" sqref="C33"/>
    </sheetView>
  </sheetViews>
  <sheetFormatPr defaultColWidth="8.85546875" defaultRowHeight="15" x14ac:dyDescent="0.25"/>
  <cols>
    <col min="1" max="1" width="56.140625" style="434" customWidth="1"/>
    <col min="2" max="2" width="14.7109375" style="481" bestFit="1" customWidth="1"/>
    <col min="3" max="3" width="39.42578125" style="481" customWidth="1"/>
    <col min="4" max="4" width="12.42578125" style="481" bestFit="1" customWidth="1"/>
    <col min="5" max="5" width="13.42578125" style="481" bestFit="1" customWidth="1"/>
    <col min="6" max="6" width="13.42578125" style="481" customWidth="1"/>
    <col min="7" max="7" width="15.140625" style="481" bestFit="1" customWidth="1"/>
    <col min="8" max="8" width="12.42578125" style="481" customWidth="1"/>
    <col min="9" max="9" width="14" style="481" bestFit="1" customWidth="1"/>
    <col min="10" max="15" width="14.140625" style="481" customWidth="1"/>
    <col min="16" max="16" width="13.85546875" style="434" bestFit="1" customWidth="1"/>
    <col min="17" max="17" width="12.28515625" style="434" customWidth="1"/>
    <col min="18" max="18" width="12.7109375" style="434" bestFit="1" customWidth="1"/>
    <col min="19" max="19" width="12.42578125" style="434" bestFit="1" customWidth="1"/>
    <col min="20" max="20" width="12.28515625" style="434" customWidth="1"/>
    <col min="21" max="21" width="12.7109375" style="434" bestFit="1" customWidth="1"/>
    <col min="22" max="22" width="12.42578125" style="434" bestFit="1" customWidth="1"/>
    <col min="23" max="23" width="14.140625" style="434" customWidth="1"/>
    <col min="24" max="24" width="13.140625" style="434" customWidth="1"/>
    <col min="25" max="25" width="12.42578125" style="434" customWidth="1"/>
    <col min="26" max="26" width="13.7109375" style="434" customWidth="1"/>
    <col min="27" max="27" width="11.28515625" style="434" bestFit="1" customWidth="1"/>
    <col min="28" max="256" width="8.85546875" style="434"/>
    <col min="257" max="257" width="56.140625" style="434" customWidth="1"/>
    <col min="258" max="258" width="14.7109375" style="434" bestFit="1" customWidth="1"/>
    <col min="259" max="259" width="39.42578125" style="434" customWidth="1"/>
    <col min="260" max="260" width="12.42578125" style="434" bestFit="1" customWidth="1"/>
    <col min="261" max="261" width="13.42578125" style="434" bestFit="1" customWidth="1"/>
    <col min="262" max="262" width="13.42578125" style="434" customWidth="1"/>
    <col min="263" max="263" width="15.140625" style="434" bestFit="1" customWidth="1"/>
    <col min="264" max="264" width="12.42578125" style="434" customWidth="1"/>
    <col min="265" max="265" width="14" style="434" bestFit="1" customWidth="1"/>
    <col min="266" max="271" width="14.140625" style="434" customWidth="1"/>
    <col min="272" max="272" width="13.85546875" style="434" bestFit="1" customWidth="1"/>
    <col min="273" max="273" width="12.28515625" style="434" customWidth="1"/>
    <col min="274" max="274" width="12.7109375" style="434" bestFit="1" customWidth="1"/>
    <col min="275" max="275" width="12.42578125" style="434" bestFit="1" customWidth="1"/>
    <col min="276" max="276" width="12.28515625" style="434" customWidth="1"/>
    <col min="277" max="277" width="12.7109375" style="434" bestFit="1" customWidth="1"/>
    <col min="278" max="278" width="12.42578125" style="434" bestFit="1" customWidth="1"/>
    <col min="279" max="279" width="14.140625" style="434" customWidth="1"/>
    <col min="280" max="280" width="13.140625" style="434" customWidth="1"/>
    <col min="281" max="281" width="12.42578125" style="434" customWidth="1"/>
    <col min="282" max="282" width="13.7109375" style="434" customWidth="1"/>
    <col min="283" max="283" width="11.28515625" style="434" bestFit="1" customWidth="1"/>
    <col min="284" max="512" width="8.85546875" style="434"/>
    <col min="513" max="513" width="56.140625" style="434" customWidth="1"/>
    <col min="514" max="514" width="14.7109375" style="434" bestFit="1" customWidth="1"/>
    <col min="515" max="515" width="39.42578125" style="434" customWidth="1"/>
    <col min="516" max="516" width="12.42578125" style="434" bestFit="1" customWidth="1"/>
    <col min="517" max="517" width="13.42578125" style="434" bestFit="1" customWidth="1"/>
    <col min="518" max="518" width="13.42578125" style="434" customWidth="1"/>
    <col min="519" max="519" width="15.140625" style="434" bestFit="1" customWidth="1"/>
    <col min="520" max="520" width="12.42578125" style="434" customWidth="1"/>
    <col min="521" max="521" width="14" style="434" bestFit="1" customWidth="1"/>
    <col min="522" max="527" width="14.140625" style="434" customWidth="1"/>
    <col min="528" max="528" width="13.85546875" style="434" bestFit="1" customWidth="1"/>
    <col min="529" max="529" width="12.28515625" style="434" customWidth="1"/>
    <col min="530" max="530" width="12.7109375" style="434" bestFit="1" customWidth="1"/>
    <col min="531" max="531" width="12.42578125" style="434" bestFit="1" customWidth="1"/>
    <col min="532" max="532" width="12.28515625" style="434" customWidth="1"/>
    <col min="533" max="533" width="12.7109375" style="434" bestFit="1" customWidth="1"/>
    <col min="534" max="534" width="12.42578125" style="434" bestFit="1" customWidth="1"/>
    <col min="535" max="535" width="14.140625" style="434" customWidth="1"/>
    <col min="536" max="536" width="13.140625" style="434" customWidth="1"/>
    <col min="537" max="537" width="12.42578125" style="434" customWidth="1"/>
    <col min="538" max="538" width="13.7109375" style="434" customWidth="1"/>
    <col min="539" max="539" width="11.28515625" style="434" bestFit="1" customWidth="1"/>
    <col min="540" max="768" width="8.85546875" style="434"/>
    <col min="769" max="769" width="56.140625" style="434" customWidth="1"/>
    <col min="770" max="770" width="14.7109375" style="434" bestFit="1" customWidth="1"/>
    <col min="771" max="771" width="39.42578125" style="434" customWidth="1"/>
    <col min="772" max="772" width="12.42578125" style="434" bestFit="1" customWidth="1"/>
    <col min="773" max="773" width="13.42578125" style="434" bestFit="1" customWidth="1"/>
    <col min="774" max="774" width="13.42578125" style="434" customWidth="1"/>
    <col min="775" max="775" width="15.140625" style="434" bestFit="1" customWidth="1"/>
    <col min="776" max="776" width="12.42578125" style="434" customWidth="1"/>
    <col min="777" max="777" width="14" style="434" bestFit="1" customWidth="1"/>
    <col min="778" max="783" width="14.140625" style="434" customWidth="1"/>
    <col min="784" max="784" width="13.85546875" style="434" bestFit="1" customWidth="1"/>
    <col min="785" max="785" width="12.28515625" style="434" customWidth="1"/>
    <col min="786" max="786" width="12.7109375" style="434" bestFit="1" customWidth="1"/>
    <col min="787" max="787" width="12.42578125" style="434" bestFit="1" customWidth="1"/>
    <col min="788" max="788" width="12.28515625" style="434" customWidth="1"/>
    <col min="789" max="789" width="12.7109375" style="434" bestFit="1" customWidth="1"/>
    <col min="790" max="790" width="12.42578125" style="434" bestFit="1" customWidth="1"/>
    <col min="791" max="791" width="14.140625" style="434" customWidth="1"/>
    <col min="792" max="792" width="13.140625" style="434" customWidth="1"/>
    <col min="793" max="793" width="12.42578125" style="434" customWidth="1"/>
    <col min="794" max="794" width="13.7109375" style="434" customWidth="1"/>
    <col min="795" max="795" width="11.28515625" style="434" bestFit="1" customWidth="1"/>
    <col min="796" max="1024" width="8.85546875" style="434"/>
    <col min="1025" max="1025" width="56.140625" style="434" customWidth="1"/>
    <col min="1026" max="1026" width="14.7109375" style="434" bestFit="1" customWidth="1"/>
    <col min="1027" max="1027" width="39.42578125" style="434" customWidth="1"/>
    <col min="1028" max="1028" width="12.42578125" style="434" bestFit="1" customWidth="1"/>
    <col min="1029" max="1029" width="13.42578125" style="434" bestFit="1" customWidth="1"/>
    <col min="1030" max="1030" width="13.42578125" style="434" customWidth="1"/>
    <col min="1031" max="1031" width="15.140625" style="434" bestFit="1" customWidth="1"/>
    <col min="1032" max="1032" width="12.42578125" style="434" customWidth="1"/>
    <col min="1033" max="1033" width="14" style="434" bestFit="1" customWidth="1"/>
    <col min="1034" max="1039" width="14.140625" style="434" customWidth="1"/>
    <col min="1040" max="1040" width="13.85546875" style="434" bestFit="1" customWidth="1"/>
    <col min="1041" max="1041" width="12.28515625" style="434" customWidth="1"/>
    <col min="1042" max="1042" width="12.7109375" style="434" bestFit="1" customWidth="1"/>
    <col min="1043" max="1043" width="12.42578125" style="434" bestFit="1" customWidth="1"/>
    <col min="1044" max="1044" width="12.28515625" style="434" customWidth="1"/>
    <col min="1045" max="1045" width="12.7109375" style="434" bestFit="1" customWidth="1"/>
    <col min="1046" max="1046" width="12.42578125" style="434" bestFit="1" customWidth="1"/>
    <col min="1047" max="1047" width="14.140625" style="434" customWidth="1"/>
    <col min="1048" max="1048" width="13.140625" style="434" customWidth="1"/>
    <col min="1049" max="1049" width="12.42578125" style="434" customWidth="1"/>
    <col min="1050" max="1050" width="13.7109375" style="434" customWidth="1"/>
    <col min="1051" max="1051" width="11.28515625" style="434" bestFit="1" customWidth="1"/>
    <col min="1052" max="1280" width="8.85546875" style="434"/>
    <col min="1281" max="1281" width="56.140625" style="434" customWidth="1"/>
    <col min="1282" max="1282" width="14.7109375" style="434" bestFit="1" customWidth="1"/>
    <col min="1283" max="1283" width="39.42578125" style="434" customWidth="1"/>
    <col min="1284" max="1284" width="12.42578125" style="434" bestFit="1" customWidth="1"/>
    <col min="1285" max="1285" width="13.42578125" style="434" bestFit="1" customWidth="1"/>
    <col min="1286" max="1286" width="13.42578125" style="434" customWidth="1"/>
    <col min="1287" max="1287" width="15.140625" style="434" bestFit="1" customWidth="1"/>
    <col min="1288" max="1288" width="12.42578125" style="434" customWidth="1"/>
    <col min="1289" max="1289" width="14" style="434" bestFit="1" customWidth="1"/>
    <col min="1290" max="1295" width="14.140625" style="434" customWidth="1"/>
    <col min="1296" max="1296" width="13.85546875" style="434" bestFit="1" customWidth="1"/>
    <col min="1297" max="1297" width="12.28515625" style="434" customWidth="1"/>
    <col min="1298" max="1298" width="12.7109375" style="434" bestFit="1" customWidth="1"/>
    <col min="1299" max="1299" width="12.42578125" style="434" bestFit="1" customWidth="1"/>
    <col min="1300" max="1300" width="12.28515625" style="434" customWidth="1"/>
    <col min="1301" max="1301" width="12.7109375" style="434" bestFit="1" customWidth="1"/>
    <col min="1302" max="1302" width="12.42578125" style="434" bestFit="1" customWidth="1"/>
    <col min="1303" max="1303" width="14.140625" style="434" customWidth="1"/>
    <col min="1304" max="1304" width="13.140625" style="434" customWidth="1"/>
    <col min="1305" max="1305" width="12.42578125" style="434" customWidth="1"/>
    <col min="1306" max="1306" width="13.7109375" style="434" customWidth="1"/>
    <col min="1307" max="1307" width="11.28515625" style="434" bestFit="1" customWidth="1"/>
    <col min="1308" max="1536" width="8.85546875" style="434"/>
    <col min="1537" max="1537" width="56.140625" style="434" customWidth="1"/>
    <col min="1538" max="1538" width="14.7109375" style="434" bestFit="1" customWidth="1"/>
    <col min="1539" max="1539" width="39.42578125" style="434" customWidth="1"/>
    <col min="1540" max="1540" width="12.42578125" style="434" bestFit="1" customWidth="1"/>
    <col min="1541" max="1541" width="13.42578125" style="434" bestFit="1" customWidth="1"/>
    <col min="1542" max="1542" width="13.42578125" style="434" customWidth="1"/>
    <col min="1543" max="1543" width="15.140625" style="434" bestFit="1" customWidth="1"/>
    <col min="1544" max="1544" width="12.42578125" style="434" customWidth="1"/>
    <col min="1545" max="1545" width="14" style="434" bestFit="1" customWidth="1"/>
    <col min="1546" max="1551" width="14.140625" style="434" customWidth="1"/>
    <col min="1552" max="1552" width="13.85546875" style="434" bestFit="1" customWidth="1"/>
    <col min="1553" max="1553" width="12.28515625" style="434" customWidth="1"/>
    <col min="1554" max="1554" width="12.7109375" style="434" bestFit="1" customWidth="1"/>
    <col min="1555" max="1555" width="12.42578125" style="434" bestFit="1" customWidth="1"/>
    <col min="1556" max="1556" width="12.28515625" style="434" customWidth="1"/>
    <col min="1557" max="1557" width="12.7109375" style="434" bestFit="1" customWidth="1"/>
    <col min="1558" max="1558" width="12.42578125" style="434" bestFit="1" customWidth="1"/>
    <col min="1559" max="1559" width="14.140625" style="434" customWidth="1"/>
    <col min="1560" max="1560" width="13.140625" style="434" customWidth="1"/>
    <col min="1561" max="1561" width="12.42578125" style="434" customWidth="1"/>
    <col min="1562" max="1562" width="13.7109375" style="434" customWidth="1"/>
    <col min="1563" max="1563" width="11.28515625" style="434" bestFit="1" customWidth="1"/>
    <col min="1564" max="1792" width="8.85546875" style="434"/>
    <col min="1793" max="1793" width="56.140625" style="434" customWidth="1"/>
    <col min="1794" max="1794" width="14.7109375" style="434" bestFit="1" customWidth="1"/>
    <col min="1795" max="1795" width="39.42578125" style="434" customWidth="1"/>
    <col min="1796" max="1796" width="12.42578125" style="434" bestFit="1" customWidth="1"/>
    <col min="1797" max="1797" width="13.42578125" style="434" bestFit="1" customWidth="1"/>
    <col min="1798" max="1798" width="13.42578125" style="434" customWidth="1"/>
    <col min="1799" max="1799" width="15.140625" style="434" bestFit="1" customWidth="1"/>
    <col min="1800" max="1800" width="12.42578125" style="434" customWidth="1"/>
    <col min="1801" max="1801" width="14" style="434" bestFit="1" customWidth="1"/>
    <col min="1802" max="1807" width="14.140625" style="434" customWidth="1"/>
    <col min="1808" max="1808" width="13.85546875" style="434" bestFit="1" customWidth="1"/>
    <col min="1809" max="1809" width="12.28515625" style="434" customWidth="1"/>
    <col min="1810" max="1810" width="12.7109375" style="434" bestFit="1" customWidth="1"/>
    <col min="1811" max="1811" width="12.42578125" style="434" bestFit="1" customWidth="1"/>
    <col min="1812" max="1812" width="12.28515625" style="434" customWidth="1"/>
    <col min="1813" max="1813" width="12.7109375" style="434" bestFit="1" customWidth="1"/>
    <col min="1814" max="1814" width="12.42578125" style="434" bestFit="1" customWidth="1"/>
    <col min="1815" max="1815" width="14.140625" style="434" customWidth="1"/>
    <col min="1816" max="1816" width="13.140625" style="434" customWidth="1"/>
    <col min="1817" max="1817" width="12.42578125" style="434" customWidth="1"/>
    <col min="1818" max="1818" width="13.7109375" style="434" customWidth="1"/>
    <col min="1819" max="1819" width="11.28515625" style="434" bestFit="1" customWidth="1"/>
    <col min="1820" max="2048" width="8.85546875" style="434"/>
    <col min="2049" max="2049" width="56.140625" style="434" customWidth="1"/>
    <col min="2050" max="2050" width="14.7109375" style="434" bestFit="1" customWidth="1"/>
    <col min="2051" max="2051" width="39.42578125" style="434" customWidth="1"/>
    <col min="2052" max="2052" width="12.42578125" style="434" bestFit="1" customWidth="1"/>
    <col min="2053" max="2053" width="13.42578125" style="434" bestFit="1" customWidth="1"/>
    <col min="2054" max="2054" width="13.42578125" style="434" customWidth="1"/>
    <col min="2055" max="2055" width="15.140625" style="434" bestFit="1" customWidth="1"/>
    <col min="2056" max="2056" width="12.42578125" style="434" customWidth="1"/>
    <col min="2057" max="2057" width="14" style="434" bestFit="1" customWidth="1"/>
    <col min="2058" max="2063" width="14.140625" style="434" customWidth="1"/>
    <col min="2064" max="2064" width="13.85546875" style="434" bestFit="1" customWidth="1"/>
    <col min="2065" max="2065" width="12.28515625" style="434" customWidth="1"/>
    <col min="2066" max="2066" width="12.7109375" style="434" bestFit="1" customWidth="1"/>
    <col min="2067" max="2067" width="12.42578125" style="434" bestFit="1" customWidth="1"/>
    <col min="2068" max="2068" width="12.28515625" style="434" customWidth="1"/>
    <col min="2069" max="2069" width="12.7109375" style="434" bestFit="1" customWidth="1"/>
    <col min="2070" max="2070" width="12.42578125" style="434" bestFit="1" customWidth="1"/>
    <col min="2071" max="2071" width="14.140625" style="434" customWidth="1"/>
    <col min="2072" max="2072" width="13.140625" style="434" customWidth="1"/>
    <col min="2073" max="2073" width="12.42578125" style="434" customWidth="1"/>
    <col min="2074" max="2074" width="13.7109375" style="434" customWidth="1"/>
    <col min="2075" max="2075" width="11.28515625" style="434" bestFit="1" customWidth="1"/>
    <col min="2076" max="2304" width="8.85546875" style="434"/>
    <col min="2305" max="2305" width="56.140625" style="434" customWidth="1"/>
    <col min="2306" max="2306" width="14.7109375" style="434" bestFit="1" customWidth="1"/>
    <col min="2307" max="2307" width="39.42578125" style="434" customWidth="1"/>
    <col min="2308" max="2308" width="12.42578125" style="434" bestFit="1" customWidth="1"/>
    <col min="2309" max="2309" width="13.42578125" style="434" bestFit="1" customWidth="1"/>
    <col min="2310" max="2310" width="13.42578125" style="434" customWidth="1"/>
    <col min="2311" max="2311" width="15.140625" style="434" bestFit="1" customWidth="1"/>
    <col min="2312" max="2312" width="12.42578125" style="434" customWidth="1"/>
    <col min="2313" max="2313" width="14" style="434" bestFit="1" customWidth="1"/>
    <col min="2314" max="2319" width="14.140625" style="434" customWidth="1"/>
    <col min="2320" max="2320" width="13.85546875" style="434" bestFit="1" customWidth="1"/>
    <col min="2321" max="2321" width="12.28515625" style="434" customWidth="1"/>
    <col min="2322" max="2322" width="12.7109375" style="434" bestFit="1" customWidth="1"/>
    <col min="2323" max="2323" width="12.42578125" style="434" bestFit="1" customWidth="1"/>
    <col min="2324" max="2324" width="12.28515625" style="434" customWidth="1"/>
    <col min="2325" max="2325" width="12.7109375" style="434" bestFit="1" customWidth="1"/>
    <col min="2326" max="2326" width="12.42578125" style="434" bestFit="1" customWidth="1"/>
    <col min="2327" max="2327" width="14.140625" style="434" customWidth="1"/>
    <col min="2328" max="2328" width="13.140625" style="434" customWidth="1"/>
    <col min="2329" max="2329" width="12.42578125" style="434" customWidth="1"/>
    <col min="2330" max="2330" width="13.7109375" style="434" customWidth="1"/>
    <col min="2331" max="2331" width="11.28515625" style="434" bestFit="1" customWidth="1"/>
    <col min="2332" max="2560" width="8.85546875" style="434"/>
    <col min="2561" max="2561" width="56.140625" style="434" customWidth="1"/>
    <col min="2562" max="2562" width="14.7109375" style="434" bestFit="1" customWidth="1"/>
    <col min="2563" max="2563" width="39.42578125" style="434" customWidth="1"/>
    <col min="2564" max="2564" width="12.42578125" style="434" bestFit="1" customWidth="1"/>
    <col min="2565" max="2565" width="13.42578125" style="434" bestFit="1" customWidth="1"/>
    <col min="2566" max="2566" width="13.42578125" style="434" customWidth="1"/>
    <col min="2567" max="2567" width="15.140625" style="434" bestFit="1" customWidth="1"/>
    <col min="2568" max="2568" width="12.42578125" style="434" customWidth="1"/>
    <col min="2569" max="2569" width="14" style="434" bestFit="1" customWidth="1"/>
    <col min="2570" max="2575" width="14.140625" style="434" customWidth="1"/>
    <col min="2576" max="2576" width="13.85546875" style="434" bestFit="1" customWidth="1"/>
    <col min="2577" max="2577" width="12.28515625" style="434" customWidth="1"/>
    <col min="2578" max="2578" width="12.7109375" style="434" bestFit="1" customWidth="1"/>
    <col min="2579" max="2579" width="12.42578125" style="434" bestFit="1" customWidth="1"/>
    <col min="2580" max="2580" width="12.28515625" style="434" customWidth="1"/>
    <col min="2581" max="2581" width="12.7109375" style="434" bestFit="1" customWidth="1"/>
    <col min="2582" max="2582" width="12.42578125" style="434" bestFit="1" customWidth="1"/>
    <col min="2583" max="2583" width="14.140625" style="434" customWidth="1"/>
    <col min="2584" max="2584" width="13.140625" style="434" customWidth="1"/>
    <col min="2585" max="2585" width="12.42578125" style="434" customWidth="1"/>
    <col min="2586" max="2586" width="13.7109375" style="434" customWidth="1"/>
    <col min="2587" max="2587" width="11.28515625" style="434" bestFit="1" customWidth="1"/>
    <col min="2588" max="2816" width="8.85546875" style="434"/>
    <col min="2817" max="2817" width="56.140625" style="434" customWidth="1"/>
    <col min="2818" max="2818" width="14.7109375" style="434" bestFit="1" customWidth="1"/>
    <col min="2819" max="2819" width="39.42578125" style="434" customWidth="1"/>
    <col min="2820" max="2820" width="12.42578125" style="434" bestFit="1" customWidth="1"/>
    <col min="2821" max="2821" width="13.42578125" style="434" bestFit="1" customWidth="1"/>
    <col min="2822" max="2822" width="13.42578125" style="434" customWidth="1"/>
    <col min="2823" max="2823" width="15.140625" style="434" bestFit="1" customWidth="1"/>
    <col min="2824" max="2824" width="12.42578125" style="434" customWidth="1"/>
    <col min="2825" max="2825" width="14" style="434" bestFit="1" customWidth="1"/>
    <col min="2826" max="2831" width="14.140625" style="434" customWidth="1"/>
    <col min="2832" max="2832" width="13.85546875" style="434" bestFit="1" customWidth="1"/>
    <col min="2833" max="2833" width="12.28515625" style="434" customWidth="1"/>
    <col min="2834" max="2834" width="12.7109375" style="434" bestFit="1" customWidth="1"/>
    <col min="2835" max="2835" width="12.42578125" style="434" bestFit="1" customWidth="1"/>
    <col min="2836" max="2836" width="12.28515625" style="434" customWidth="1"/>
    <col min="2837" max="2837" width="12.7109375" style="434" bestFit="1" customWidth="1"/>
    <col min="2838" max="2838" width="12.42578125" style="434" bestFit="1" customWidth="1"/>
    <col min="2839" max="2839" width="14.140625" style="434" customWidth="1"/>
    <col min="2840" max="2840" width="13.140625" style="434" customWidth="1"/>
    <col min="2841" max="2841" width="12.42578125" style="434" customWidth="1"/>
    <col min="2842" max="2842" width="13.7109375" style="434" customWidth="1"/>
    <col min="2843" max="2843" width="11.28515625" style="434" bestFit="1" customWidth="1"/>
    <col min="2844" max="3072" width="8.85546875" style="434"/>
    <col min="3073" max="3073" width="56.140625" style="434" customWidth="1"/>
    <col min="3074" max="3074" width="14.7109375" style="434" bestFit="1" customWidth="1"/>
    <col min="3075" max="3075" width="39.42578125" style="434" customWidth="1"/>
    <col min="3076" max="3076" width="12.42578125" style="434" bestFit="1" customWidth="1"/>
    <col min="3077" max="3077" width="13.42578125" style="434" bestFit="1" customWidth="1"/>
    <col min="3078" max="3078" width="13.42578125" style="434" customWidth="1"/>
    <col min="3079" max="3079" width="15.140625" style="434" bestFit="1" customWidth="1"/>
    <col min="3080" max="3080" width="12.42578125" style="434" customWidth="1"/>
    <col min="3081" max="3081" width="14" style="434" bestFit="1" customWidth="1"/>
    <col min="3082" max="3087" width="14.140625" style="434" customWidth="1"/>
    <col min="3088" max="3088" width="13.85546875" style="434" bestFit="1" customWidth="1"/>
    <col min="3089" max="3089" width="12.28515625" style="434" customWidth="1"/>
    <col min="3090" max="3090" width="12.7109375" style="434" bestFit="1" customWidth="1"/>
    <col min="3091" max="3091" width="12.42578125" style="434" bestFit="1" customWidth="1"/>
    <col min="3092" max="3092" width="12.28515625" style="434" customWidth="1"/>
    <col min="3093" max="3093" width="12.7109375" style="434" bestFit="1" customWidth="1"/>
    <col min="3094" max="3094" width="12.42578125" style="434" bestFit="1" customWidth="1"/>
    <col min="3095" max="3095" width="14.140625" style="434" customWidth="1"/>
    <col min="3096" max="3096" width="13.140625" style="434" customWidth="1"/>
    <col min="3097" max="3097" width="12.42578125" style="434" customWidth="1"/>
    <col min="3098" max="3098" width="13.7109375" style="434" customWidth="1"/>
    <col min="3099" max="3099" width="11.28515625" style="434" bestFit="1" customWidth="1"/>
    <col min="3100" max="3328" width="8.85546875" style="434"/>
    <col min="3329" max="3329" width="56.140625" style="434" customWidth="1"/>
    <col min="3330" max="3330" width="14.7109375" style="434" bestFit="1" customWidth="1"/>
    <col min="3331" max="3331" width="39.42578125" style="434" customWidth="1"/>
    <col min="3332" max="3332" width="12.42578125" style="434" bestFit="1" customWidth="1"/>
    <col min="3333" max="3333" width="13.42578125" style="434" bestFit="1" customWidth="1"/>
    <col min="3334" max="3334" width="13.42578125" style="434" customWidth="1"/>
    <col min="3335" max="3335" width="15.140625" style="434" bestFit="1" customWidth="1"/>
    <col min="3336" max="3336" width="12.42578125" style="434" customWidth="1"/>
    <col min="3337" max="3337" width="14" style="434" bestFit="1" customWidth="1"/>
    <col min="3338" max="3343" width="14.140625" style="434" customWidth="1"/>
    <col min="3344" max="3344" width="13.85546875" style="434" bestFit="1" customWidth="1"/>
    <col min="3345" max="3345" width="12.28515625" style="434" customWidth="1"/>
    <col min="3346" max="3346" width="12.7109375" style="434" bestFit="1" customWidth="1"/>
    <col min="3347" max="3347" width="12.42578125" style="434" bestFit="1" customWidth="1"/>
    <col min="3348" max="3348" width="12.28515625" style="434" customWidth="1"/>
    <col min="3349" max="3349" width="12.7109375" style="434" bestFit="1" customWidth="1"/>
    <col min="3350" max="3350" width="12.42578125" style="434" bestFit="1" customWidth="1"/>
    <col min="3351" max="3351" width="14.140625" style="434" customWidth="1"/>
    <col min="3352" max="3352" width="13.140625" style="434" customWidth="1"/>
    <col min="3353" max="3353" width="12.42578125" style="434" customWidth="1"/>
    <col min="3354" max="3354" width="13.7109375" style="434" customWidth="1"/>
    <col min="3355" max="3355" width="11.28515625" style="434" bestFit="1" customWidth="1"/>
    <col min="3356" max="3584" width="8.85546875" style="434"/>
    <col min="3585" max="3585" width="56.140625" style="434" customWidth="1"/>
    <col min="3586" max="3586" width="14.7109375" style="434" bestFit="1" customWidth="1"/>
    <col min="3587" max="3587" width="39.42578125" style="434" customWidth="1"/>
    <col min="3588" max="3588" width="12.42578125" style="434" bestFit="1" customWidth="1"/>
    <col min="3589" max="3589" width="13.42578125" style="434" bestFit="1" customWidth="1"/>
    <col min="3590" max="3590" width="13.42578125" style="434" customWidth="1"/>
    <col min="3591" max="3591" width="15.140625" style="434" bestFit="1" customWidth="1"/>
    <col min="3592" max="3592" width="12.42578125" style="434" customWidth="1"/>
    <col min="3593" max="3593" width="14" style="434" bestFit="1" customWidth="1"/>
    <col min="3594" max="3599" width="14.140625" style="434" customWidth="1"/>
    <col min="3600" max="3600" width="13.85546875" style="434" bestFit="1" customWidth="1"/>
    <col min="3601" max="3601" width="12.28515625" style="434" customWidth="1"/>
    <col min="3602" max="3602" width="12.7109375" style="434" bestFit="1" customWidth="1"/>
    <col min="3603" max="3603" width="12.42578125" style="434" bestFit="1" customWidth="1"/>
    <col min="3604" max="3604" width="12.28515625" style="434" customWidth="1"/>
    <col min="3605" max="3605" width="12.7109375" style="434" bestFit="1" customWidth="1"/>
    <col min="3606" max="3606" width="12.42578125" style="434" bestFit="1" customWidth="1"/>
    <col min="3607" max="3607" width="14.140625" style="434" customWidth="1"/>
    <col min="3608" max="3608" width="13.140625" style="434" customWidth="1"/>
    <col min="3609" max="3609" width="12.42578125" style="434" customWidth="1"/>
    <col min="3610" max="3610" width="13.7109375" style="434" customWidth="1"/>
    <col min="3611" max="3611" width="11.28515625" style="434" bestFit="1" customWidth="1"/>
    <col min="3612" max="3840" width="8.85546875" style="434"/>
    <col min="3841" max="3841" width="56.140625" style="434" customWidth="1"/>
    <col min="3842" max="3842" width="14.7109375" style="434" bestFit="1" customWidth="1"/>
    <col min="3843" max="3843" width="39.42578125" style="434" customWidth="1"/>
    <col min="3844" max="3844" width="12.42578125" style="434" bestFit="1" customWidth="1"/>
    <col min="3845" max="3845" width="13.42578125" style="434" bestFit="1" customWidth="1"/>
    <col min="3846" max="3846" width="13.42578125" style="434" customWidth="1"/>
    <col min="3847" max="3847" width="15.140625" style="434" bestFit="1" customWidth="1"/>
    <col min="3848" max="3848" width="12.42578125" style="434" customWidth="1"/>
    <col min="3849" max="3849" width="14" style="434" bestFit="1" customWidth="1"/>
    <col min="3850" max="3855" width="14.140625" style="434" customWidth="1"/>
    <col min="3856" max="3856" width="13.85546875" style="434" bestFit="1" customWidth="1"/>
    <col min="3857" max="3857" width="12.28515625" style="434" customWidth="1"/>
    <col min="3858" max="3858" width="12.7109375" style="434" bestFit="1" customWidth="1"/>
    <col min="3859" max="3859" width="12.42578125" style="434" bestFit="1" customWidth="1"/>
    <col min="3860" max="3860" width="12.28515625" style="434" customWidth="1"/>
    <col min="3861" max="3861" width="12.7109375" style="434" bestFit="1" customWidth="1"/>
    <col min="3862" max="3862" width="12.42578125" style="434" bestFit="1" customWidth="1"/>
    <col min="3863" max="3863" width="14.140625" style="434" customWidth="1"/>
    <col min="3864" max="3864" width="13.140625" style="434" customWidth="1"/>
    <col min="3865" max="3865" width="12.42578125" style="434" customWidth="1"/>
    <col min="3866" max="3866" width="13.7109375" style="434" customWidth="1"/>
    <col min="3867" max="3867" width="11.28515625" style="434" bestFit="1" customWidth="1"/>
    <col min="3868" max="4096" width="8.85546875" style="434"/>
    <col min="4097" max="4097" width="56.140625" style="434" customWidth="1"/>
    <col min="4098" max="4098" width="14.7109375" style="434" bestFit="1" customWidth="1"/>
    <col min="4099" max="4099" width="39.42578125" style="434" customWidth="1"/>
    <col min="4100" max="4100" width="12.42578125" style="434" bestFit="1" customWidth="1"/>
    <col min="4101" max="4101" width="13.42578125" style="434" bestFit="1" customWidth="1"/>
    <col min="4102" max="4102" width="13.42578125" style="434" customWidth="1"/>
    <col min="4103" max="4103" width="15.140625" style="434" bestFit="1" customWidth="1"/>
    <col min="4104" max="4104" width="12.42578125" style="434" customWidth="1"/>
    <col min="4105" max="4105" width="14" style="434" bestFit="1" customWidth="1"/>
    <col min="4106" max="4111" width="14.140625" style="434" customWidth="1"/>
    <col min="4112" max="4112" width="13.85546875" style="434" bestFit="1" customWidth="1"/>
    <col min="4113" max="4113" width="12.28515625" style="434" customWidth="1"/>
    <col min="4114" max="4114" width="12.7109375" style="434" bestFit="1" customWidth="1"/>
    <col min="4115" max="4115" width="12.42578125" style="434" bestFit="1" customWidth="1"/>
    <col min="4116" max="4116" width="12.28515625" style="434" customWidth="1"/>
    <col min="4117" max="4117" width="12.7109375" style="434" bestFit="1" customWidth="1"/>
    <col min="4118" max="4118" width="12.42578125" style="434" bestFit="1" customWidth="1"/>
    <col min="4119" max="4119" width="14.140625" style="434" customWidth="1"/>
    <col min="4120" max="4120" width="13.140625" style="434" customWidth="1"/>
    <col min="4121" max="4121" width="12.42578125" style="434" customWidth="1"/>
    <col min="4122" max="4122" width="13.7109375" style="434" customWidth="1"/>
    <col min="4123" max="4123" width="11.28515625" style="434" bestFit="1" customWidth="1"/>
    <col min="4124" max="4352" width="8.85546875" style="434"/>
    <col min="4353" max="4353" width="56.140625" style="434" customWidth="1"/>
    <col min="4354" max="4354" width="14.7109375" style="434" bestFit="1" customWidth="1"/>
    <col min="4355" max="4355" width="39.42578125" style="434" customWidth="1"/>
    <col min="4356" max="4356" width="12.42578125" style="434" bestFit="1" customWidth="1"/>
    <col min="4357" max="4357" width="13.42578125" style="434" bestFit="1" customWidth="1"/>
    <col min="4358" max="4358" width="13.42578125" style="434" customWidth="1"/>
    <col min="4359" max="4359" width="15.140625" style="434" bestFit="1" customWidth="1"/>
    <col min="4360" max="4360" width="12.42578125" style="434" customWidth="1"/>
    <col min="4361" max="4361" width="14" style="434" bestFit="1" customWidth="1"/>
    <col min="4362" max="4367" width="14.140625" style="434" customWidth="1"/>
    <col min="4368" max="4368" width="13.85546875" style="434" bestFit="1" customWidth="1"/>
    <col min="4369" max="4369" width="12.28515625" style="434" customWidth="1"/>
    <col min="4370" max="4370" width="12.7109375" style="434" bestFit="1" customWidth="1"/>
    <col min="4371" max="4371" width="12.42578125" style="434" bestFit="1" customWidth="1"/>
    <col min="4372" max="4372" width="12.28515625" style="434" customWidth="1"/>
    <col min="4373" max="4373" width="12.7109375" style="434" bestFit="1" customWidth="1"/>
    <col min="4374" max="4374" width="12.42578125" style="434" bestFit="1" customWidth="1"/>
    <col min="4375" max="4375" width="14.140625" style="434" customWidth="1"/>
    <col min="4376" max="4376" width="13.140625" style="434" customWidth="1"/>
    <col min="4377" max="4377" width="12.42578125" style="434" customWidth="1"/>
    <col min="4378" max="4378" width="13.7109375" style="434" customWidth="1"/>
    <col min="4379" max="4379" width="11.28515625" style="434" bestFit="1" customWidth="1"/>
    <col min="4380" max="4608" width="8.85546875" style="434"/>
    <col min="4609" max="4609" width="56.140625" style="434" customWidth="1"/>
    <col min="4610" max="4610" width="14.7109375" style="434" bestFit="1" customWidth="1"/>
    <col min="4611" max="4611" width="39.42578125" style="434" customWidth="1"/>
    <col min="4612" max="4612" width="12.42578125" style="434" bestFit="1" customWidth="1"/>
    <col min="4613" max="4613" width="13.42578125" style="434" bestFit="1" customWidth="1"/>
    <col min="4614" max="4614" width="13.42578125" style="434" customWidth="1"/>
    <col min="4615" max="4615" width="15.140625" style="434" bestFit="1" customWidth="1"/>
    <col min="4616" max="4616" width="12.42578125" style="434" customWidth="1"/>
    <col min="4617" max="4617" width="14" style="434" bestFit="1" customWidth="1"/>
    <col min="4618" max="4623" width="14.140625" style="434" customWidth="1"/>
    <col min="4624" max="4624" width="13.85546875" style="434" bestFit="1" customWidth="1"/>
    <col min="4625" max="4625" width="12.28515625" style="434" customWidth="1"/>
    <col min="4626" max="4626" width="12.7109375" style="434" bestFit="1" customWidth="1"/>
    <col min="4627" max="4627" width="12.42578125" style="434" bestFit="1" customWidth="1"/>
    <col min="4628" max="4628" width="12.28515625" style="434" customWidth="1"/>
    <col min="4629" max="4629" width="12.7109375" style="434" bestFit="1" customWidth="1"/>
    <col min="4630" max="4630" width="12.42578125" style="434" bestFit="1" customWidth="1"/>
    <col min="4631" max="4631" width="14.140625" style="434" customWidth="1"/>
    <col min="4632" max="4632" width="13.140625" style="434" customWidth="1"/>
    <col min="4633" max="4633" width="12.42578125" style="434" customWidth="1"/>
    <col min="4634" max="4634" width="13.7109375" style="434" customWidth="1"/>
    <col min="4635" max="4635" width="11.28515625" style="434" bestFit="1" customWidth="1"/>
    <col min="4636" max="4864" width="8.85546875" style="434"/>
    <col min="4865" max="4865" width="56.140625" style="434" customWidth="1"/>
    <col min="4866" max="4866" width="14.7109375" style="434" bestFit="1" customWidth="1"/>
    <col min="4867" max="4867" width="39.42578125" style="434" customWidth="1"/>
    <col min="4868" max="4868" width="12.42578125" style="434" bestFit="1" customWidth="1"/>
    <col min="4869" max="4869" width="13.42578125" style="434" bestFit="1" customWidth="1"/>
    <col min="4870" max="4870" width="13.42578125" style="434" customWidth="1"/>
    <col min="4871" max="4871" width="15.140625" style="434" bestFit="1" customWidth="1"/>
    <col min="4872" max="4872" width="12.42578125" style="434" customWidth="1"/>
    <col min="4873" max="4873" width="14" style="434" bestFit="1" customWidth="1"/>
    <col min="4874" max="4879" width="14.140625" style="434" customWidth="1"/>
    <col min="4880" max="4880" width="13.85546875" style="434" bestFit="1" customWidth="1"/>
    <col min="4881" max="4881" width="12.28515625" style="434" customWidth="1"/>
    <col min="4882" max="4882" width="12.7109375" style="434" bestFit="1" customWidth="1"/>
    <col min="4883" max="4883" width="12.42578125" style="434" bestFit="1" customWidth="1"/>
    <col min="4884" max="4884" width="12.28515625" style="434" customWidth="1"/>
    <col min="4885" max="4885" width="12.7109375" style="434" bestFit="1" customWidth="1"/>
    <col min="4886" max="4886" width="12.42578125" style="434" bestFit="1" customWidth="1"/>
    <col min="4887" max="4887" width="14.140625" style="434" customWidth="1"/>
    <col min="4888" max="4888" width="13.140625" style="434" customWidth="1"/>
    <col min="4889" max="4889" width="12.42578125" style="434" customWidth="1"/>
    <col min="4890" max="4890" width="13.7109375" style="434" customWidth="1"/>
    <col min="4891" max="4891" width="11.28515625" style="434" bestFit="1" customWidth="1"/>
    <col min="4892" max="5120" width="8.85546875" style="434"/>
    <col min="5121" max="5121" width="56.140625" style="434" customWidth="1"/>
    <col min="5122" max="5122" width="14.7109375" style="434" bestFit="1" customWidth="1"/>
    <col min="5123" max="5123" width="39.42578125" style="434" customWidth="1"/>
    <col min="5124" max="5124" width="12.42578125" style="434" bestFit="1" customWidth="1"/>
    <col min="5125" max="5125" width="13.42578125" style="434" bestFit="1" customWidth="1"/>
    <col min="5126" max="5126" width="13.42578125" style="434" customWidth="1"/>
    <col min="5127" max="5127" width="15.140625" style="434" bestFit="1" customWidth="1"/>
    <col min="5128" max="5128" width="12.42578125" style="434" customWidth="1"/>
    <col min="5129" max="5129" width="14" style="434" bestFit="1" customWidth="1"/>
    <col min="5130" max="5135" width="14.140625" style="434" customWidth="1"/>
    <col min="5136" max="5136" width="13.85546875" style="434" bestFit="1" customWidth="1"/>
    <col min="5137" max="5137" width="12.28515625" style="434" customWidth="1"/>
    <col min="5138" max="5138" width="12.7109375" style="434" bestFit="1" customWidth="1"/>
    <col min="5139" max="5139" width="12.42578125" style="434" bestFit="1" customWidth="1"/>
    <col min="5140" max="5140" width="12.28515625" style="434" customWidth="1"/>
    <col min="5141" max="5141" width="12.7109375" style="434" bestFit="1" customWidth="1"/>
    <col min="5142" max="5142" width="12.42578125" style="434" bestFit="1" customWidth="1"/>
    <col min="5143" max="5143" width="14.140625" style="434" customWidth="1"/>
    <col min="5144" max="5144" width="13.140625" style="434" customWidth="1"/>
    <col min="5145" max="5145" width="12.42578125" style="434" customWidth="1"/>
    <col min="5146" max="5146" width="13.7109375" style="434" customWidth="1"/>
    <col min="5147" max="5147" width="11.28515625" style="434" bestFit="1" customWidth="1"/>
    <col min="5148" max="5376" width="8.85546875" style="434"/>
    <col min="5377" max="5377" width="56.140625" style="434" customWidth="1"/>
    <col min="5378" max="5378" width="14.7109375" style="434" bestFit="1" customWidth="1"/>
    <col min="5379" max="5379" width="39.42578125" style="434" customWidth="1"/>
    <col min="5380" max="5380" width="12.42578125" style="434" bestFit="1" customWidth="1"/>
    <col min="5381" max="5381" width="13.42578125" style="434" bestFit="1" customWidth="1"/>
    <col min="5382" max="5382" width="13.42578125" style="434" customWidth="1"/>
    <col min="5383" max="5383" width="15.140625" style="434" bestFit="1" customWidth="1"/>
    <col min="5384" max="5384" width="12.42578125" style="434" customWidth="1"/>
    <col min="5385" max="5385" width="14" style="434" bestFit="1" customWidth="1"/>
    <col min="5386" max="5391" width="14.140625" style="434" customWidth="1"/>
    <col min="5392" max="5392" width="13.85546875" style="434" bestFit="1" customWidth="1"/>
    <col min="5393" max="5393" width="12.28515625" style="434" customWidth="1"/>
    <col min="5394" max="5394" width="12.7109375" style="434" bestFit="1" customWidth="1"/>
    <col min="5395" max="5395" width="12.42578125" style="434" bestFit="1" customWidth="1"/>
    <col min="5396" max="5396" width="12.28515625" style="434" customWidth="1"/>
    <col min="5397" max="5397" width="12.7109375" style="434" bestFit="1" customWidth="1"/>
    <col min="5398" max="5398" width="12.42578125" style="434" bestFit="1" customWidth="1"/>
    <col min="5399" max="5399" width="14.140625" style="434" customWidth="1"/>
    <col min="5400" max="5400" width="13.140625" style="434" customWidth="1"/>
    <col min="5401" max="5401" width="12.42578125" style="434" customWidth="1"/>
    <col min="5402" max="5402" width="13.7109375" style="434" customWidth="1"/>
    <col min="5403" max="5403" width="11.28515625" style="434" bestFit="1" customWidth="1"/>
    <col min="5404" max="5632" width="8.85546875" style="434"/>
    <col min="5633" max="5633" width="56.140625" style="434" customWidth="1"/>
    <col min="5634" max="5634" width="14.7109375" style="434" bestFit="1" customWidth="1"/>
    <col min="5635" max="5635" width="39.42578125" style="434" customWidth="1"/>
    <col min="5636" max="5636" width="12.42578125" style="434" bestFit="1" customWidth="1"/>
    <col min="5637" max="5637" width="13.42578125" style="434" bestFit="1" customWidth="1"/>
    <col min="5638" max="5638" width="13.42578125" style="434" customWidth="1"/>
    <col min="5639" max="5639" width="15.140625" style="434" bestFit="1" customWidth="1"/>
    <col min="5640" max="5640" width="12.42578125" style="434" customWidth="1"/>
    <col min="5641" max="5641" width="14" style="434" bestFit="1" customWidth="1"/>
    <col min="5642" max="5647" width="14.140625" style="434" customWidth="1"/>
    <col min="5648" max="5648" width="13.85546875" style="434" bestFit="1" customWidth="1"/>
    <col min="5649" max="5649" width="12.28515625" style="434" customWidth="1"/>
    <col min="5650" max="5650" width="12.7109375" style="434" bestFit="1" customWidth="1"/>
    <col min="5651" max="5651" width="12.42578125" style="434" bestFit="1" customWidth="1"/>
    <col min="5652" max="5652" width="12.28515625" style="434" customWidth="1"/>
    <col min="5653" max="5653" width="12.7109375" style="434" bestFit="1" customWidth="1"/>
    <col min="5654" max="5654" width="12.42578125" style="434" bestFit="1" customWidth="1"/>
    <col min="5655" max="5655" width="14.140625" style="434" customWidth="1"/>
    <col min="5656" max="5656" width="13.140625" style="434" customWidth="1"/>
    <col min="5657" max="5657" width="12.42578125" style="434" customWidth="1"/>
    <col min="5658" max="5658" width="13.7109375" style="434" customWidth="1"/>
    <col min="5659" max="5659" width="11.28515625" style="434" bestFit="1" customWidth="1"/>
    <col min="5660" max="5888" width="8.85546875" style="434"/>
    <col min="5889" max="5889" width="56.140625" style="434" customWidth="1"/>
    <col min="5890" max="5890" width="14.7109375" style="434" bestFit="1" customWidth="1"/>
    <col min="5891" max="5891" width="39.42578125" style="434" customWidth="1"/>
    <col min="5892" max="5892" width="12.42578125" style="434" bestFit="1" customWidth="1"/>
    <col min="5893" max="5893" width="13.42578125" style="434" bestFit="1" customWidth="1"/>
    <col min="5894" max="5894" width="13.42578125" style="434" customWidth="1"/>
    <col min="5895" max="5895" width="15.140625" style="434" bestFit="1" customWidth="1"/>
    <col min="5896" max="5896" width="12.42578125" style="434" customWidth="1"/>
    <col min="5897" max="5897" width="14" style="434" bestFit="1" customWidth="1"/>
    <col min="5898" max="5903" width="14.140625" style="434" customWidth="1"/>
    <col min="5904" max="5904" width="13.85546875" style="434" bestFit="1" customWidth="1"/>
    <col min="5905" max="5905" width="12.28515625" style="434" customWidth="1"/>
    <col min="5906" max="5906" width="12.7109375" style="434" bestFit="1" customWidth="1"/>
    <col min="5907" max="5907" width="12.42578125" style="434" bestFit="1" customWidth="1"/>
    <col min="5908" max="5908" width="12.28515625" style="434" customWidth="1"/>
    <col min="5909" max="5909" width="12.7109375" style="434" bestFit="1" customWidth="1"/>
    <col min="5910" max="5910" width="12.42578125" style="434" bestFit="1" customWidth="1"/>
    <col min="5911" max="5911" width="14.140625" style="434" customWidth="1"/>
    <col min="5912" max="5912" width="13.140625" style="434" customWidth="1"/>
    <col min="5913" max="5913" width="12.42578125" style="434" customWidth="1"/>
    <col min="5914" max="5914" width="13.7109375" style="434" customWidth="1"/>
    <col min="5915" max="5915" width="11.28515625" style="434" bestFit="1" customWidth="1"/>
    <col min="5916" max="6144" width="8.85546875" style="434"/>
    <col min="6145" max="6145" width="56.140625" style="434" customWidth="1"/>
    <col min="6146" max="6146" width="14.7109375" style="434" bestFit="1" customWidth="1"/>
    <col min="6147" max="6147" width="39.42578125" style="434" customWidth="1"/>
    <col min="6148" max="6148" width="12.42578125" style="434" bestFit="1" customWidth="1"/>
    <col min="6149" max="6149" width="13.42578125" style="434" bestFit="1" customWidth="1"/>
    <col min="6150" max="6150" width="13.42578125" style="434" customWidth="1"/>
    <col min="6151" max="6151" width="15.140625" style="434" bestFit="1" customWidth="1"/>
    <col min="6152" max="6152" width="12.42578125" style="434" customWidth="1"/>
    <col min="6153" max="6153" width="14" style="434" bestFit="1" customWidth="1"/>
    <col min="6154" max="6159" width="14.140625" style="434" customWidth="1"/>
    <col min="6160" max="6160" width="13.85546875" style="434" bestFit="1" customWidth="1"/>
    <col min="6161" max="6161" width="12.28515625" style="434" customWidth="1"/>
    <col min="6162" max="6162" width="12.7109375" style="434" bestFit="1" customWidth="1"/>
    <col min="6163" max="6163" width="12.42578125" style="434" bestFit="1" customWidth="1"/>
    <col min="6164" max="6164" width="12.28515625" style="434" customWidth="1"/>
    <col min="6165" max="6165" width="12.7109375" style="434" bestFit="1" customWidth="1"/>
    <col min="6166" max="6166" width="12.42578125" style="434" bestFit="1" customWidth="1"/>
    <col min="6167" max="6167" width="14.140625" style="434" customWidth="1"/>
    <col min="6168" max="6168" width="13.140625" style="434" customWidth="1"/>
    <col min="6169" max="6169" width="12.42578125" style="434" customWidth="1"/>
    <col min="6170" max="6170" width="13.7109375" style="434" customWidth="1"/>
    <col min="6171" max="6171" width="11.28515625" style="434" bestFit="1" customWidth="1"/>
    <col min="6172" max="6400" width="8.85546875" style="434"/>
    <col min="6401" max="6401" width="56.140625" style="434" customWidth="1"/>
    <col min="6402" max="6402" width="14.7109375" style="434" bestFit="1" customWidth="1"/>
    <col min="6403" max="6403" width="39.42578125" style="434" customWidth="1"/>
    <col min="6404" max="6404" width="12.42578125" style="434" bestFit="1" customWidth="1"/>
    <col min="6405" max="6405" width="13.42578125" style="434" bestFit="1" customWidth="1"/>
    <col min="6406" max="6406" width="13.42578125" style="434" customWidth="1"/>
    <col min="6407" max="6407" width="15.140625" style="434" bestFit="1" customWidth="1"/>
    <col min="6408" max="6408" width="12.42578125" style="434" customWidth="1"/>
    <col min="6409" max="6409" width="14" style="434" bestFit="1" customWidth="1"/>
    <col min="6410" max="6415" width="14.140625" style="434" customWidth="1"/>
    <col min="6416" max="6416" width="13.85546875" style="434" bestFit="1" customWidth="1"/>
    <col min="6417" max="6417" width="12.28515625" style="434" customWidth="1"/>
    <col min="6418" max="6418" width="12.7109375" style="434" bestFit="1" customWidth="1"/>
    <col min="6419" max="6419" width="12.42578125" style="434" bestFit="1" customWidth="1"/>
    <col min="6420" max="6420" width="12.28515625" style="434" customWidth="1"/>
    <col min="6421" max="6421" width="12.7109375" style="434" bestFit="1" customWidth="1"/>
    <col min="6422" max="6422" width="12.42578125" style="434" bestFit="1" customWidth="1"/>
    <col min="6423" max="6423" width="14.140625" style="434" customWidth="1"/>
    <col min="6424" max="6424" width="13.140625" style="434" customWidth="1"/>
    <col min="6425" max="6425" width="12.42578125" style="434" customWidth="1"/>
    <col min="6426" max="6426" width="13.7109375" style="434" customWidth="1"/>
    <col min="6427" max="6427" width="11.28515625" style="434" bestFit="1" customWidth="1"/>
    <col min="6428" max="6656" width="8.85546875" style="434"/>
    <col min="6657" max="6657" width="56.140625" style="434" customWidth="1"/>
    <col min="6658" max="6658" width="14.7109375" style="434" bestFit="1" customWidth="1"/>
    <col min="6659" max="6659" width="39.42578125" style="434" customWidth="1"/>
    <col min="6660" max="6660" width="12.42578125" style="434" bestFit="1" customWidth="1"/>
    <col min="6661" max="6661" width="13.42578125" style="434" bestFit="1" customWidth="1"/>
    <col min="6662" max="6662" width="13.42578125" style="434" customWidth="1"/>
    <col min="6663" max="6663" width="15.140625" style="434" bestFit="1" customWidth="1"/>
    <col min="6664" max="6664" width="12.42578125" style="434" customWidth="1"/>
    <col min="6665" max="6665" width="14" style="434" bestFit="1" customWidth="1"/>
    <col min="6666" max="6671" width="14.140625" style="434" customWidth="1"/>
    <col min="6672" max="6672" width="13.85546875" style="434" bestFit="1" customWidth="1"/>
    <col min="6673" max="6673" width="12.28515625" style="434" customWidth="1"/>
    <col min="6674" max="6674" width="12.7109375" style="434" bestFit="1" customWidth="1"/>
    <col min="6675" max="6675" width="12.42578125" style="434" bestFit="1" customWidth="1"/>
    <col min="6676" max="6676" width="12.28515625" style="434" customWidth="1"/>
    <col min="6677" max="6677" width="12.7109375" style="434" bestFit="1" customWidth="1"/>
    <col min="6678" max="6678" width="12.42578125" style="434" bestFit="1" customWidth="1"/>
    <col min="6679" max="6679" width="14.140625" style="434" customWidth="1"/>
    <col min="6680" max="6680" width="13.140625" style="434" customWidth="1"/>
    <col min="6681" max="6681" width="12.42578125" style="434" customWidth="1"/>
    <col min="6682" max="6682" width="13.7109375" style="434" customWidth="1"/>
    <col min="6683" max="6683" width="11.28515625" style="434" bestFit="1" customWidth="1"/>
    <col min="6684" max="6912" width="8.85546875" style="434"/>
    <col min="6913" max="6913" width="56.140625" style="434" customWidth="1"/>
    <col min="6914" max="6914" width="14.7109375" style="434" bestFit="1" customWidth="1"/>
    <col min="6915" max="6915" width="39.42578125" style="434" customWidth="1"/>
    <col min="6916" max="6916" width="12.42578125" style="434" bestFit="1" customWidth="1"/>
    <col min="6917" max="6917" width="13.42578125" style="434" bestFit="1" customWidth="1"/>
    <col min="6918" max="6918" width="13.42578125" style="434" customWidth="1"/>
    <col min="6919" max="6919" width="15.140625" style="434" bestFit="1" customWidth="1"/>
    <col min="6920" max="6920" width="12.42578125" style="434" customWidth="1"/>
    <col min="6921" max="6921" width="14" style="434" bestFit="1" customWidth="1"/>
    <col min="6922" max="6927" width="14.140625" style="434" customWidth="1"/>
    <col min="6928" max="6928" width="13.85546875" style="434" bestFit="1" customWidth="1"/>
    <col min="6929" max="6929" width="12.28515625" style="434" customWidth="1"/>
    <col min="6930" max="6930" width="12.7109375" style="434" bestFit="1" customWidth="1"/>
    <col min="6931" max="6931" width="12.42578125" style="434" bestFit="1" customWidth="1"/>
    <col min="6932" max="6932" width="12.28515625" style="434" customWidth="1"/>
    <col min="6933" max="6933" width="12.7109375" style="434" bestFit="1" customWidth="1"/>
    <col min="6934" max="6934" width="12.42578125" style="434" bestFit="1" customWidth="1"/>
    <col min="6935" max="6935" width="14.140625" style="434" customWidth="1"/>
    <col min="6936" max="6936" width="13.140625" style="434" customWidth="1"/>
    <col min="6937" max="6937" width="12.42578125" style="434" customWidth="1"/>
    <col min="6938" max="6938" width="13.7109375" style="434" customWidth="1"/>
    <col min="6939" max="6939" width="11.28515625" style="434" bestFit="1" customWidth="1"/>
    <col min="6940" max="7168" width="8.85546875" style="434"/>
    <col min="7169" max="7169" width="56.140625" style="434" customWidth="1"/>
    <col min="7170" max="7170" width="14.7109375" style="434" bestFit="1" customWidth="1"/>
    <col min="7171" max="7171" width="39.42578125" style="434" customWidth="1"/>
    <col min="7172" max="7172" width="12.42578125" style="434" bestFit="1" customWidth="1"/>
    <col min="7173" max="7173" width="13.42578125" style="434" bestFit="1" customWidth="1"/>
    <col min="7174" max="7174" width="13.42578125" style="434" customWidth="1"/>
    <col min="7175" max="7175" width="15.140625" style="434" bestFit="1" customWidth="1"/>
    <col min="7176" max="7176" width="12.42578125" style="434" customWidth="1"/>
    <col min="7177" max="7177" width="14" style="434" bestFit="1" customWidth="1"/>
    <col min="7178" max="7183" width="14.140625" style="434" customWidth="1"/>
    <col min="7184" max="7184" width="13.85546875" style="434" bestFit="1" customWidth="1"/>
    <col min="7185" max="7185" width="12.28515625" style="434" customWidth="1"/>
    <col min="7186" max="7186" width="12.7109375" style="434" bestFit="1" customWidth="1"/>
    <col min="7187" max="7187" width="12.42578125" style="434" bestFit="1" customWidth="1"/>
    <col min="7188" max="7188" width="12.28515625" style="434" customWidth="1"/>
    <col min="7189" max="7189" width="12.7109375" style="434" bestFit="1" customWidth="1"/>
    <col min="7190" max="7190" width="12.42578125" style="434" bestFit="1" customWidth="1"/>
    <col min="7191" max="7191" width="14.140625" style="434" customWidth="1"/>
    <col min="7192" max="7192" width="13.140625" style="434" customWidth="1"/>
    <col min="7193" max="7193" width="12.42578125" style="434" customWidth="1"/>
    <col min="7194" max="7194" width="13.7109375" style="434" customWidth="1"/>
    <col min="7195" max="7195" width="11.28515625" style="434" bestFit="1" customWidth="1"/>
    <col min="7196" max="7424" width="8.85546875" style="434"/>
    <col min="7425" max="7425" width="56.140625" style="434" customWidth="1"/>
    <col min="7426" max="7426" width="14.7109375" style="434" bestFit="1" customWidth="1"/>
    <col min="7427" max="7427" width="39.42578125" style="434" customWidth="1"/>
    <col min="7428" max="7428" width="12.42578125" style="434" bestFit="1" customWidth="1"/>
    <col min="7429" max="7429" width="13.42578125" style="434" bestFit="1" customWidth="1"/>
    <col min="7430" max="7430" width="13.42578125" style="434" customWidth="1"/>
    <col min="7431" max="7431" width="15.140625" style="434" bestFit="1" customWidth="1"/>
    <col min="7432" max="7432" width="12.42578125" style="434" customWidth="1"/>
    <col min="7433" max="7433" width="14" style="434" bestFit="1" customWidth="1"/>
    <col min="7434" max="7439" width="14.140625" style="434" customWidth="1"/>
    <col min="7440" max="7440" width="13.85546875" style="434" bestFit="1" customWidth="1"/>
    <col min="7441" max="7441" width="12.28515625" style="434" customWidth="1"/>
    <col min="7442" max="7442" width="12.7109375" style="434" bestFit="1" customWidth="1"/>
    <col min="7443" max="7443" width="12.42578125" style="434" bestFit="1" customWidth="1"/>
    <col min="7444" max="7444" width="12.28515625" style="434" customWidth="1"/>
    <col min="7445" max="7445" width="12.7109375" style="434" bestFit="1" customWidth="1"/>
    <col min="7446" max="7446" width="12.42578125" style="434" bestFit="1" customWidth="1"/>
    <col min="7447" max="7447" width="14.140625" style="434" customWidth="1"/>
    <col min="7448" max="7448" width="13.140625" style="434" customWidth="1"/>
    <col min="7449" max="7449" width="12.42578125" style="434" customWidth="1"/>
    <col min="7450" max="7450" width="13.7109375" style="434" customWidth="1"/>
    <col min="7451" max="7451" width="11.28515625" style="434" bestFit="1" customWidth="1"/>
    <col min="7452" max="7680" width="8.85546875" style="434"/>
    <col min="7681" max="7681" width="56.140625" style="434" customWidth="1"/>
    <col min="7682" max="7682" width="14.7109375" style="434" bestFit="1" customWidth="1"/>
    <col min="7683" max="7683" width="39.42578125" style="434" customWidth="1"/>
    <col min="7684" max="7684" width="12.42578125" style="434" bestFit="1" customWidth="1"/>
    <col min="7685" max="7685" width="13.42578125" style="434" bestFit="1" customWidth="1"/>
    <col min="7686" max="7686" width="13.42578125" style="434" customWidth="1"/>
    <col min="7687" max="7687" width="15.140625" style="434" bestFit="1" customWidth="1"/>
    <col min="7688" max="7688" width="12.42578125" style="434" customWidth="1"/>
    <col min="7689" max="7689" width="14" style="434" bestFit="1" customWidth="1"/>
    <col min="7690" max="7695" width="14.140625" style="434" customWidth="1"/>
    <col min="7696" max="7696" width="13.85546875" style="434" bestFit="1" customWidth="1"/>
    <col min="7697" max="7697" width="12.28515625" style="434" customWidth="1"/>
    <col min="7698" max="7698" width="12.7109375" style="434" bestFit="1" customWidth="1"/>
    <col min="7699" max="7699" width="12.42578125" style="434" bestFit="1" customWidth="1"/>
    <col min="7700" max="7700" width="12.28515625" style="434" customWidth="1"/>
    <col min="7701" max="7701" width="12.7109375" style="434" bestFit="1" customWidth="1"/>
    <col min="7702" max="7702" width="12.42578125" style="434" bestFit="1" customWidth="1"/>
    <col min="7703" max="7703" width="14.140625" style="434" customWidth="1"/>
    <col min="7704" max="7704" width="13.140625" style="434" customWidth="1"/>
    <col min="7705" max="7705" width="12.42578125" style="434" customWidth="1"/>
    <col min="7706" max="7706" width="13.7109375" style="434" customWidth="1"/>
    <col min="7707" max="7707" width="11.28515625" style="434" bestFit="1" customWidth="1"/>
    <col min="7708" max="7936" width="8.85546875" style="434"/>
    <col min="7937" max="7937" width="56.140625" style="434" customWidth="1"/>
    <col min="7938" max="7938" width="14.7109375" style="434" bestFit="1" customWidth="1"/>
    <col min="7939" max="7939" width="39.42578125" style="434" customWidth="1"/>
    <col min="7940" max="7940" width="12.42578125" style="434" bestFit="1" customWidth="1"/>
    <col min="7941" max="7941" width="13.42578125" style="434" bestFit="1" customWidth="1"/>
    <col min="7942" max="7942" width="13.42578125" style="434" customWidth="1"/>
    <col min="7943" max="7943" width="15.140625" style="434" bestFit="1" customWidth="1"/>
    <col min="7944" max="7944" width="12.42578125" style="434" customWidth="1"/>
    <col min="7945" max="7945" width="14" style="434" bestFit="1" customWidth="1"/>
    <col min="7946" max="7951" width="14.140625" style="434" customWidth="1"/>
    <col min="7952" max="7952" width="13.85546875" style="434" bestFit="1" customWidth="1"/>
    <col min="7953" max="7953" width="12.28515625" style="434" customWidth="1"/>
    <col min="7954" max="7954" width="12.7109375" style="434" bestFit="1" customWidth="1"/>
    <col min="7955" max="7955" width="12.42578125" style="434" bestFit="1" customWidth="1"/>
    <col min="7956" max="7956" width="12.28515625" style="434" customWidth="1"/>
    <col min="7957" max="7957" width="12.7109375" style="434" bestFit="1" customWidth="1"/>
    <col min="7958" max="7958" width="12.42578125" style="434" bestFit="1" customWidth="1"/>
    <col min="7959" max="7959" width="14.140625" style="434" customWidth="1"/>
    <col min="7960" max="7960" width="13.140625" style="434" customWidth="1"/>
    <col min="7961" max="7961" width="12.42578125" style="434" customWidth="1"/>
    <col min="7962" max="7962" width="13.7109375" style="434" customWidth="1"/>
    <col min="7963" max="7963" width="11.28515625" style="434" bestFit="1" customWidth="1"/>
    <col min="7964" max="8192" width="8.85546875" style="434"/>
    <col min="8193" max="8193" width="56.140625" style="434" customWidth="1"/>
    <col min="8194" max="8194" width="14.7109375" style="434" bestFit="1" customWidth="1"/>
    <col min="8195" max="8195" width="39.42578125" style="434" customWidth="1"/>
    <col min="8196" max="8196" width="12.42578125" style="434" bestFit="1" customWidth="1"/>
    <col min="8197" max="8197" width="13.42578125" style="434" bestFit="1" customWidth="1"/>
    <col min="8198" max="8198" width="13.42578125" style="434" customWidth="1"/>
    <col min="8199" max="8199" width="15.140625" style="434" bestFit="1" customWidth="1"/>
    <col min="8200" max="8200" width="12.42578125" style="434" customWidth="1"/>
    <col min="8201" max="8201" width="14" style="434" bestFit="1" customWidth="1"/>
    <col min="8202" max="8207" width="14.140625" style="434" customWidth="1"/>
    <col min="8208" max="8208" width="13.85546875" style="434" bestFit="1" customWidth="1"/>
    <col min="8209" max="8209" width="12.28515625" style="434" customWidth="1"/>
    <col min="8210" max="8210" width="12.7109375" style="434" bestFit="1" customWidth="1"/>
    <col min="8211" max="8211" width="12.42578125" style="434" bestFit="1" customWidth="1"/>
    <col min="8212" max="8212" width="12.28515625" style="434" customWidth="1"/>
    <col min="8213" max="8213" width="12.7109375" style="434" bestFit="1" customWidth="1"/>
    <col min="8214" max="8214" width="12.42578125" style="434" bestFit="1" customWidth="1"/>
    <col min="8215" max="8215" width="14.140625" style="434" customWidth="1"/>
    <col min="8216" max="8216" width="13.140625" style="434" customWidth="1"/>
    <col min="8217" max="8217" width="12.42578125" style="434" customWidth="1"/>
    <col min="8218" max="8218" width="13.7109375" style="434" customWidth="1"/>
    <col min="8219" max="8219" width="11.28515625" style="434" bestFit="1" customWidth="1"/>
    <col min="8220" max="8448" width="8.85546875" style="434"/>
    <col min="8449" max="8449" width="56.140625" style="434" customWidth="1"/>
    <col min="8450" max="8450" width="14.7109375" style="434" bestFit="1" customWidth="1"/>
    <col min="8451" max="8451" width="39.42578125" style="434" customWidth="1"/>
    <col min="8452" max="8452" width="12.42578125" style="434" bestFit="1" customWidth="1"/>
    <col min="8453" max="8453" width="13.42578125" style="434" bestFit="1" customWidth="1"/>
    <col min="8454" max="8454" width="13.42578125" style="434" customWidth="1"/>
    <col min="8455" max="8455" width="15.140625" style="434" bestFit="1" customWidth="1"/>
    <col min="8456" max="8456" width="12.42578125" style="434" customWidth="1"/>
    <col min="8457" max="8457" width="14" style="434" bestFit="1" customWidth="1"/>
    <col min="8458" max="8463" width="14.140625" style="434" customWidth="1"/>
    <col min="8464" max="8464" width="13.85546875" style="434" bestFit="1" customWidth="1"/>
    <col min="8465" max="8465" width="12.28515625" style="434" customWidth="1"/>
    <col min="8466" max="8466" width="12.7109375" style="434" bestFit="1" customWidth="1"/>
    <col min="8467" max="8467" width="12.42578125" style="434" bestFit="1" customWidth="1"/>
    <col min="8468" max="8468" width="12.28515625" style="434" customWidth="1"/>
    <col min="8469" max="8469" width="12.7109375" style="434" bestFit="1" customWidth="1"/>
    <col min="8470" max="8470" width="12.42578125" style="434" bestFit="1" customWidth="1"/>
    <col min="8471" max="8471" width="14.140625" style="434" customWidth="1"/>
    <col min="8472" max="8472" width="13.140625" style="434" customWidth="1"/>
    <col min="8473" max="8473" width="12.42578125" style="434" customWidth="1"/>
    <col min="8474" max="8474" width="13.7109375" style="434" customWidth="1"/>
    <col min="8475" max="8475" width="11.28515625" style="434" bestFit="1" customWidth="1"/>
    <col min="8476" max="8704" width="8.85546875" style="434"/>
    <col min="8705" max="8705" width="56.140625" style="434" customWidth="1"/>
    <col min="8706" max="8706" width="14.7109375" style="434" bestFit="1" customWidth="1"/>
    <col min="8707" max="8707" width="39.42578125" style="434" customWidth="1"/>
    <col min="8708" max="8708" width="12.42578125" style="434" bestFit="1" customWidth="1"/>
    <col min="8709" max="8709" width="13.42578125" style="434" bestFit="1" customWidth="1"/>
    <col min="8710" max="8710" width="13.42578125" style="434" customWidth="1"/>
    <col min="8711" max="8711" width="15.140625" style="434" bestFit="1" customWidth="1"/>
    <col min="8712" max="8712" width="12.42578125" style="434" customWidth="1"/>
    <col min="8713" max="8713" width="14" style="434" bestFit="1" customWidth="1"/>
    <col min="8714" max="8719" width="14.140625" style="434" customWidth="1"/>
    <col min="8720" max="8720" width="13.85546875" style="434" bestFit="1" customWidth="1"/>
    <col min="8721" max="8721" width="12.28515625" style="434" customWidth="1"/>
    <col min="8722" max="8722" width="12.7109375" style="434" bestFit="1" customWidth="1"/>
    <col min="8723" max="8723" width="12.42578125" style="434" bestFit="1" customWidth="1"/>
    <col min="8724" max="8724" width="12.28515625" style="434" customWidth="1"/>
    <col min="8725" max="8725" width="12.7109375" style="434" bestFit="1" customWidth="1"/>
    <col min="8726" max="8726" width="12.42578125" style="434" bestFit="1" customWidth="1"/>
    <col min="8727" max="8727" width="14.140625" style="434" customWidth="1"/>
    <col min="8728" max="8728" width="13.140625" style="434" customWidth="1"/>
    <col min="8729" max="8729" width="12.42578125" style="434" customWidth="1"/>
    <col min="8730" max="8730" width="13.7109375" style="434" customWidth="1"/>
    <col min="8731" max="8731" width="11.28515625" style="434" bestFit="1" customWidth="1"/>
    <col min="8732" max="8960" width="8.85546875" style="434"/>
    <col min="8961" max="8961" width="56.140625" style="434" customWidth="1"/>
    <col min="8962" max="8962" width="14.7109375" style="434" bestFit="1" customWidth="1"/>
    <col min="8963" max="8963" width="39.42578125" style="434" customWidth="1"/>
    <col min="8964" max="8964" width="12.42578125" style="434" bestFit="1" customWidth="1"/>
    <col min="8965" max="8965" width="13.42578125" style="434" bestFit="1" customWidth="1"/>
    <col min="8966" max="8966" width="13.42578125" style="434" customWidth="1"/>
    <col min="8967" max="8967" width="15.140625" style="434" bestFit="1" customWidth="1"/>
    <col min="8968" max="8968" width="12.42578125" style="434" customWidth="1"/>
    <col min="8969" max="8969" width="14" style="434" bestFit="1" customWidth="1"/>
    <col min="8970" max="8975" width="14.140625" style="434" customWidth="1"/>
    <col min="8976" max="8976" width="13.85546875" style="434" bestFit="1" customWidth="1"/>
    <col min="8977" max="8977" width="12.28515625" style="434" customWidth="1"/>
    <col min="8978" max="8978" width="12.7109375" style="434" bestFit="1" customWidth="1"/>
    <col min="8979" max="8979" width="12.42578125" style="434" bestFit="1" customWidth="1"/>
    <col min="8980" max="8980" width="12.28515625" style="434" customWidth="1"/>
    <col min="8981" max="8981" width="12.7109375" style="434" bestFit="1" customWidth="1"/>
    <col min="8982" max="8982" width="12.42578125" style="434" bestFit="1" customWidth="1"/>
    <col min="8983" max="8983" width="14.140625" style="434" customWidth="1"/>
    <col min="8984" max="8984" width="13.140625" style="434" customWidth="1"/>
    <col min="8985" max="8985" width="12.42578125" style="434" customWidth="1"/>
    <col min="8986" max="8986" width="13.7109375" style="434" customWidth="1"/>
    <col min="8987" max="8987" width="11.28515625" style="434" bestFit="1" customWidth="1"/>
    <col min="8988" max="9216" width="8.85546875" style="434"/>
    <col min="9217" max="9217" width="56.140625" style="434" customWidth="1"/>
    <col min="9218" max="9218" width="14.7109375" style="434" bestFit="1" customWidth="1"/>
    <col min="9219" max="9219" width="39.42578125" style="434" customWidth="1"/>
    <col min="9220" max="9220" width="12.42578125" style="434" bestFit="1" customWidth="1"/>
    <col min="9221" max="9221" width="13.42578125" style="434" bestFit="1" customWidth="1"/>
    <col min="9222" max="9222" width="13.42578125" style="434" customWidth="1"/>
    <col min="9223" max="9223" width="15.140625" style="434" bestFit="1" customWidth="1"/>
    <col min="9224" max="9224" width="12.42578125" style="434" customWidth="1"/>
    <col min="9225" max="9225" width="14" style="434" bestFit="1" customWidth="1"/>
    <col min="9226" max="9231" width="14.140625" style="434" customWidth="1"/>
    <col min="9232" max="9232" width="13.85546875" style="434" bestFit="1" customWidth="1"/>
    <col min="9233" max="9233" width="12.28515625" style="434" customWidth="1"/>
    <col min="9234" max="9234" width="12.7109375" style="434" bestFit="1" customWidth="1"/>
    <col min="9235" max="9235" width="12.42578125" style="434" bestFit="1" customWidth="1"/>
    <col min="9236" max="9236" width="12.28515625" style="434" customWidth="1"/>
    <col min="9237" max="9237" width="12.7109375" style="434" bestFit="1" customWidth="1"/>
    <col min="9238" max="9238" width="12.42578125" style="434" bestFit="1" customWidth="1"/>
    <col min="9239" max="9239" width="14.140625" style="434" customWidth="1"/>
    <col min="9240" max="9240" width="13.140625" style="434" customWidth="1"/>
    <col min="9241" max="9241" width="12.42578125" style="434" customWidth="1"/>
    <col min="9242" max="9242" width="13.7109375" style="434" customWidth="1"/>
    <col min="9243" max="9243" width="11.28515625" style="434" bestFit="1" customWidth="1"/>
    <col min="9244" max="9472" width="8.85546875" style="434"/>
    <col min="9473" max="9473" width="56.140625" style="434" customWidth="1"/>
    <col min="9474" max="9474" width="14.7109375" style="434" bestFit="1" customWidth="1"/>
    <col min="9475" max="9475" width="39.42578125" style="434" customWidth="1"/>
    <col min="9476" max="9476" width="12.42578125" style="434" bestFit="1" customWidth="1"/>
    <col min="9477" max="9477" width="13.42578125" style="434" bestFit="1" customWidth="1"/>
    <col min="9478" max="9478" width="13.42578125" style="434" customWidth="1"/>
    <col min="9479" max="9479" width="15.140625" style="434" bestFit="1" customWidth="1"/>
    <col min="9480" max="9480" width="12.42578125" style="434" customWidth="1"/>
    <col min="9481" max="9481" width="14" style="434" bestFit="1" customWidth="1"/>
    <col min="9482" max="9487" width="14.140625" style="434" customWidth="1"/>
    <col min="9488" max="9488" width="13.85546875" style="434" bestFit="1" customWidth="1"/>
    <col min="9489" max="9489" width="12.28515625" style="434" customWidth="1"/>
    <col min="9490" max="9490" width="12.7109375" style="434" bestFit="1" customWidth="1"/>
    <col min="9491" max="9491" width="12.42578125" style="434" bestFit="1" customWidth="1"/>
    <col min="9492" max="9492" width="12.28515625" style="434" customWidth="1"/>
    <col min="9493" max="9493" width="12.7109375" style="434" bestFit="1" customWidth="1"/>
    <col min="9494" max="9494" width="12.42578125" style="434" bestFit="1" customWidth="1"/>
    <col min="9495" max="9495" width="14.140625" style="434" customWidth="1"/>
    <col min="9496" max="9496" width="13.140625" style="434" customWidth="1"/>
    <col min="9497" max="9497" width="12.42578125" style="434" customWidth="1"/>
    <col min="9498" max="9498" width="13.7109375" style="434" customWidth="1"/>
    <col min="9499" max="9499" width="11.28515625" style="434" bestFit="1" customWidth="1"/>
    <col min="9500" max="9728" width="8.85546875" style="434"/>
    <col min="9729" max="9729" width="56.140625" style="434" customWidth="1"/>
    <col min="9730" max="9730" width="14.7109375" style="434" bestFit="1" customWidth="1"/>
    <col min="9731" max="9731" width="39.42578125" style="434" customWidth="1"/>
    <col min="9732" max="9732" width="12.42578125" style="434" bestFit="1" customWidth="1"/>
    <col min="9733" max="9733" width="13.42578125" style="434" bestFit="1" customWidth="1"/>
    <col min="9734" max="9734" width="13.42578125" style="434" customWidth="1"/>
    <col min="9735" max="9735" width="15.140625" style="434" bestFit="1" customWidth="1"/>
    <col min="9736" max="9736" width="12.42578125" style="434" customWidth="1"/>
    <col min="9737" max="9737" width="14" style="434" bestFit="1" customWidth="1"/>
    <col min="9738" max="9743" width="14.140625" style="434" customWidth="1"/>
    <col min="9744" max="9744" width="13.85546875" style="434" bestFit="1" customWidth="1"/>
    <col min="9745" max="9745" width="12.28515625" style="434" customWidth="1"/>
    <col min="9746" max="9746" width="12.7109375" style="434" bestFit="1" customWidth="1"/>
    <col min="9747" max="9747" width="12.42578125" style="434" bestFit="1" customWidth="1"/>
    <col min="9748" max="9748" width="12.28515625" style="434" customWidth="1"/>
    <col min="9749" max="9749" width="12.7109375" style="434" bestFit="1" customWidth="1"/>
    <col min="9750" max="9750" width="12.42578125" style="434" bestFit="1" customWidth="1"/>
    <col min="9751" max="9751" width="14.140625" style="434" customWidth="1"/>
    <col min="9752" max="9752" width="13.140625" style="434" customWidth="1"/>
    <col min="9753" max="9753" width="12.42578125" style="434" customWidth="1"/>
    <col min="9754" max="9754" width="13.7109375" style="434" customWidth="1"/>
    <col min="9755" max="9755" width="11.28515625" style="434" bestFit="1" customWidth="1"/>
    <col min="9756" max="9984" width="8.85546875" style="434"/>
    <col min="9985" max="9985" width="56.140625" style="434" customWidth="1"/>
    <col min="9986" max="9986" width="14.7109375" style="434" bestFit="1" customWidth="1"/>
    <col min="9987" max="9987" width="39.42578125" style="434" customWidth="1"/>
    <col min="9988" max="9988" width="12.42578125" style="434" bestFit="1" customWidth="1"/>
    <col min="9989" max="9989" width="13.42578125" style="434" bestFit="1" customWidth="1"/>
    <col min="9990" max="9990" width="13.42578125" style="434" customWidth="1"/>
    <col min="9991" max="9991" width="15.140625" style="434" bestFit="1" customWidth="1"/>
    <col min="9992" max="9992" width="12.42578125" style="434" customWidth="1"/>
    <col min="9993" max="9993" width="14" style="434" bestFit="1" customWidth="1"/>
    <col min="9994" max="9999" width="14.140625" style="434" customWidth="1"/>
    <col min="10000" max="10000" width="13.85546875" style="434" bestFit="1" customWidth="1"/>
    <col min="10001" max="10001" width="12.28515625" style="434" customWidth="1"/>
    <col min="10002" max="10002" width="12.7109375" style="434" bestFit="1" customWidth="1"/>
    <col min="10003" max="10003" width="12.42578125" style="434" bestFit="1" customWidth="1"/>
    <col min="10004" max="10004" width="12.28515625" style="434" customWidth="1"/>
    <col min="10005" max="10005" width="12.7109375" style="434" bestFit="1" customWidth="1"/>
    <col min="10006" max="10006" width="12.42578125" style="434" bestFit="1" customWidth="1"/>
    <col min="10007" max="10007" width="14.140625" style="434" customWidth="1"/>
    <col min="10008" max="10008" width="13.140625" style="434" customWidth="1"/>
    <col min="10009" max="10009" width="12.42578125" style="434" customWidth="1"/>
    <col min="10010" max="10010" width="13.7109375" style="434" customWidth="1"/>
    <col min="10011" max="10011" width="11.28515625" style="434" bestFit="1" customWidth="1"/>
    <col min="10012" max="10240" width="8.85546875" style="434"/>
    <col min="10241" max="10241" width="56.140625" style="434" customWidth="1"/>
    <col min="10242" max="10242" width="14.7109375" style="434" bestFit="1" customWidth="1"/>
    <col min="10243" max="10243" width="39.42578125" style="434" customWidth="1"/>
    <col min="10244" max="10244" width="12.42578125" style="434" bestFit="1" customWidth="1"/>
    <col min="10245" max="10245" width="13.42578125" style="434" bestFit="1" customWidth="1"/>
    <col min="10246" max="10246" width="13.42578125" style="434" customWidth="1"/>
    <col min="10247" max="10247" width="15.140625" style="434" bestFit="1" customWidth="1"/>
    <col min="10248" max="10248" width="12.42578125" style="434" customWidth="1"/>
    <col min="10249" max="10249" width="14" style="434" bestFit="1" customWidth="1"/>
    <col min="10250" max="10255" width="14.140625" style="434" customWidth="1"/>
    <col min="10256" max="10256" width="13.85546875" style="434" bestFit="1" customWidth="1"/>
    <col min="10257" max="10257" width="12.28515625" style="434" customWidth="1"/>
    <col min="10258" max="10258" width="12.7109375" style="434" bestFit="1" customWidth="1"/>
    <col min="10259" max="10259" width="12.42578125" style="434" bestFit="1" customWidth="1"/>
    <col min="10260" max="10260" width="12.28515625" style="434" customWidth="1"/>
    <col min="10261" max="10261" width="12.7109375" style="434" bestFit="1" customWidth="1"/>
    <col min="10262" max="10262" width="12.42578125" style="434" bestFit="1" customWidth="1"/>
    <col min="10263" max="10263" width="14.140625" style="434" customWidth="1"/>
    <col min="10264" max="10264" width="13.140625" style="434" customWidth="1"/>
    <col min="10265" max="10265" width="12.42578125" style="434" customWidth="1"/>
    <col min="10266" max="10266" width="13.7109375" style="434" customWidth="1"/>
    <col min="10267" max="10267" width="11.28515625" style="434" bestFit="1" customWidth="1"/>
    <col min="10268" max="10496" width="8.85546875" style="434"/>
    <col min="10497" max="10497" width="56.140625" style="434" customWidth="1"/>
    <col min="10498" max="10498" width="14.7109375" style="434" bestFit="1" customWidth="1"/>
    <col min="10499" max="10499" width="39.42578125" style="434" customWidth="1"/>
    <col min="10500" max="10500" width="12.42578125" style="434" bestFit="1" customWidth="1"/>
    <col min="10501" max="10501" width="13.42578125" style="434" bestFit="1" customWidth="1"/>
    <col min="10502" max="10502" width="13.42578125" style="434" customWidth="1"/>
    <col min="10503" max="10503" width="15.140625" style="434" bestFit="1" customWidth="1"/>
    <col min="10504" max="10504" width="12.42578125" style="434" customWidth="1"/>
    <col min="10505" max="10505" width="14" style="434" bestFit="1" customWidth="1"/>
    <col min="10506" max="10511" width="14.140625" style="434" customWidth="1"/>
    <col min="10512" max="10512" width="13.85546875" style="434" bestFit="1" customWidth="1"/>
    <col min="10513" max="10513" width="12.28515625" style="434" customWidth="1"/>
    <col min="10514" max="10514" width="12.7109375" style="434" bestFit="1" customWidth="1"/>
    <col min="10515" max="10515" width="12.42578125" style="434" bestFit="1" customWidth="1"/>
    <col min="10516" max="10516" width="12.28515625" style="434" customWidth="1"/>
    <col min="10517" max="10517" width="12.7109375" style="434" bestFit="1" customWidth="1"/>
    <col min="10518" max="10518" width="12.42578125" style="434" bestFit="1" customWidth="1"/>
    <col min="10519" max="10519" width="14.140625" style="434" customWidth="1"/>
    <col min="10520" max="10520" width="13.140625" style="434" customWidth="1"/>
    <col min="10521" max="10521" width="12.42578125" style="434" customWidth="1"/>
    <col min="10522" max="10522" width="13.7109375" style="434" customWidth="1"/>
    <col min="10523" max="10523" width="11.28515625" style="434" bestFit="1" customWidth="1"/>
    <col min="10524" max="10752" width="8.85546875" style="434"/>
    <col min="10753" max="10753" width="56.140625" style="434" customWidth="1"/>
    <col min="10754" max="10754" width="14.7109375" style="434" bestFit="1" customWidth="1"/>
    <col min="10755" max="10755" width="39.42578125" style="434" customWidth="1"/>
    <col min="10756" max="10756" width="12.42578125" style="434" bestFit="1" customWidth="1"/>
    <col min="10757" max="10757" width="13.42578125" style="434" bestFit="1" customWidth="1"/>
    <col min="10758" max="10758" width="13.42578125" style="434" customWidth="1"/>
    <col min="10759" max="10759" width="15.140625" style="434" bestFit="1" customWidth="1"/>
    <col min="10760" max="10760" width="12.42578125" style="434" customWidth="1"/>
    <col min="10761" max="10761" width="14" style="434" bestFit="1" customWidth="1"/>
    <col min="10762" max="10767" width="14.140625" style="434" customWidth="1"/>
    <col min="10768" max="10768" width="13.85546875" style="434" bestFit="1" customWidth="1"/>
    <col min="10769" max="10769" width="12.28515625" style="434" customWidth="1"/>
    <col min="10770" max="10770" width="12.7109375" style="434" bestFit="1" customWidth="1"/>
    <col min="10771" max="10771" width="12.42578125" style="434" bestFit="1" customWidth="1"/>
    <col min="10772" max="10772" width="12.28515625" style="434" customWidth="1"/>
    <col min="10773" max="10773" width="12.7109375" style="434" bestFit="1" customWidth="1"/>
    <col min="10774" max="10774" width="12.42578125" style="434" bestFit="1" customWidth="1"/>
    <col min="10775" max="10775" width="14.140625" style="434" customWidth="1"/>
    <col min="10776" max="10776" width="13.140625" style="434" customWidth="1"/>
    <col min="10777" max="10777" width="12.42578125" style="434" customWidth="1"/>
    <col min="10778" max="10778" width="13.7109375" style="434" customWidth="1"/>
    <col min="10779" max="10779" width="11.28515625" style="434" bestFit="1" customWidth="1"/>
    <col min="10780" max="11008" width="8.85546875" style="434"/>
    <col min="11009" max="11009" width="56.140625" style="434" customWidth="1"/>
    <col min="11010" max="11010" width="14.7109375" style="434" bestFit="1" customWidth="1"/>
    <col min="11011" max="11011" width="39.42578125" style="434" customWidth="1"/>
    <col min="11012" max="11012" width="12.42578125" style="434" bestFit="1" customWidth="1"/>
    <col min="11013" max="11013" width="13.42578125" style="434" bestFit="1" customWidth="1"/>
    <col min="11014" max="11014" width="13.42578125" style="434" customWidth="1"/>
    <col min="11015" max="11015" width="15.140625" style="434" bestFit="1" customWidth="1"/>
    <col min="11016" max="11016" width="12.42578125" style="434" customWidth="1"/>
    <col min="11017" max="11017" width="14" style="434" bestFit="1" customWidth="1"/>
    <col min="11018" max="11023" width="14.140625" style="434" customWidth="1"/>
    <col min="11024" max="11024" width="13.85546875" style="434" bestFit="1" customWidth="1"/>
    <col min="11025" max="11025" width="12.28515625" style="434" customWidth="1"/>
    <col min="11026" max="11026" width="12.7109375" style="434" bestFit="1" customWidth="1"/>
    <col min="11027" max="11027" width="12.42578125" style="434" bestFit="1" customWidth="1"/>
    <col min="11028" max="11028" width="12.28515625" style="434" customWidth="1"/>
    <col min="11029" max="11029" width="12.7109375" style="434" bestFit="1" customWidth="1"/>
    <col min="11030" max="11030" width="12.42578125" style="434" bestFit="1" customWidth="1"/>
    <col min="11031" max="11031" width="14.140625" style="434" customWidth="1"/>
    <col min="11032" max="11032" width="13.140625" style="434" customWidth="1"/>
    <col min="11033" max="11033" width="12.42578125" style="434" customWidth="1"/>
    <col min="11034" max="11034" width="13.7109375" style="434" customWidth="1"/>
    <col min="11035" max="11035" width="11.28515625" style="434" bestFit="1" customWidth="1"/>
    <col min="11036" max="11264" width="8.85546875" style="434"/>
    <col min="11265" max="11265" width="56.140625" style="434" customWidth="1"/>
    <col min="11266" max="11266" width="14.7109375" style="434" bestFit="1" customWidth="1"/>
    <col min="11267" max="11267" width="39.42578125" style="434" customWidth="1"/>
    <col min="11268" max="11268" width="12.42578125" style="434" bestFit="1" customWidth="1"/>
    <col min="11269" max="11269" width="13.42578125" style="434" bestFit="1" customWidth="1"/>
    <col min="11270" max="11270" width="13.42578125" style="434" customWidth="1"/>
    <col min="11271" max="11271" width="15.140625" style="434" bestFit="1" customWidth="1"/>
    <col min="11272" max="11272" width="12.42578125" style="434" customWidth="1"/>
    <col min="11273" max="11273" width="14" style="434" bestFit="1" customWidth="1"/>
    <col min="11274" max="11279" width="14.140625" style="434" customWidth="1"/>
    <col min="11280" max="11280" width="13.85546875" style="434" bestFit="1" customWidth="1"/>
    <col min="11281" max="11281" width="12.28515625" style="434" customWidth="1"/>
    <col min="11282" max="11282" width="12.7109375" style="434" bestFit="1" customWidth="1"/>
    <col min="11283" max="11283" width="12.42578125" style="434" bestFit="1" customWidth="1"/>
    <col min="11284" max="11284" width="12.28515625" style="434" customWidth="1"/>
    <col min="11285" max="11285" width="12.7109375" style="434" bestFit="1" customWidth="1"/>
    <col min="11286" max="11286" width="12.42578125" style="434" bestFit="1" customWidth="1"/>
    <col min="11287" max="11287" width="14.140625" style="434" customWidth="1"/>
    <col min="11288" max="11288" width="13.140625" style="434" customWidth="1"/>
    <col min="11289" max="11289" width="12.42578125" style="434" customWidth="1"/>
    <col min="11290" max="11290" width="13.7109375" style="434" customWidth="1"/>
    <col min="11291" max="11291" width="11.28515625" style="434" bestFit="1" customWidth="1"/>
    <col min="11292" max="11520" width="8.85546875" style="434"/>
    <col min="11521" max="11521" width="56.140625" style="434" customWidth="1"/>
    <col min="11522" max="11522" width="14.7109375" style="434" bestFit="1" customWidth="1"/>
    <col min="11523" max="11523" width="39.42578125" style="434" customWidth="1"/>
    <col min="11524" max="11524" width="12.42578125" style="434" bestFit="1" customWidth="1"/>
    <col min="11525" max="11525" width="13.42578125" style="434" bestFit="1" customWidth="1"/>
    <col min="11526" max="11526" width="13.42578125" style="434" customWidth="1"/>
    <col min="11527" max="11527" width="15.140625" style="434" bestFit="1" customWidth="1"/>
    <col min="11528" max="11528" width="12.42578125" style="434" customWidth="1"/>
    <col min="11529" max="11529" width="14" style="434" bestFit="1" customWidth="1"/>
    <col min="11530" max="11535" width="14.140625" style="434" customWidth="1"/>
    <col min="11536" max="11536" width="13.85546875" style="434" bestFit="1" customWidth="1"/>
    <col min="11537" max="11537" width="12.28515625" style="434" customWidth="1"/>
    <col min="11538" max="11538" width="12.7109375" style="434" bestFit="1" customWidth="1"/>
    <col min="11539" max="11539" width="12.42578125" style="434" bestFit="1" customWidth="1"/>
    <col min="11540" max="11540" width="12.28515625" style="434" customWidth="1"/>
    <col min="11541" max="11541" width="12.7109375" style="434" bestFit="1" customWidth="1"/>
    <col min="11542" max="11542" width="12.42578125" style="434" bestFit="1" customWidth="1"/>
    <col min="11543" max="11543" width="14.140625" style="434" customWidth="1"/>
    <col min="11544" max="11544" width="13.140625" style="434" customWidth="1"/>
    <col min="11545" max="11545" width="12.42578125" style="434" customWidth="1"/>
    <col min="11546" max="11546" width="13.7109375" style="434" customWidth="1"/>
    <col min="11547" max="11547" width="11.28515625" style="434" bestFit="1" customWidth="1"/>
    <col min="11548" max="11776" width="8.85546875" style="434"/>
    <col min="11777" max="11777" width="56.140625" style="434" customWidth="1"/>
    <col min="11778" max="11778" width="14.7109375" style="434" bestFit="1" customWidth="1"/>
    <col min="11779" max="11779" width="39.42578125" style="434" customWidth="1"/>
    <col min="11780" max="11780" width="12.42578125" style="434" bestFit="1" customWidth="1"/>
    <col min="11781" max="11781" width="13.42578125" style="434" bestFit="1" customWidth="1"/>
    <col min="11782" max="11782" width="13.42578125" style="434" customWidth="1"/>
    <col min="11783" max="11783" width="15.140625" style="434" bestFit="1" customWidth="1"/>
    <col min="11784" max="11784" width="12.42578125" style="434" customWidth="1"/>
    <col min="11785" max="11785" width="14" style="434" bestFit="1" customWidth="1"/>
    <col min="11786" max="11791" width="14.140625" style="434" customWidth="1"/>
    <col min="11792" max="11792" width="13.85546875" style="434" bestFit="1" customWidth="1"/>
    <col min="11793" max="11793" width="12.28515625" style="434" customWidth="1"/>
    <col min="11794" max="11794" width="12.7109375" style="434" bestFit="1" customWidth="1"/>
    <col min="11795" max="11795" width="12.42578125" style="434" bestFit="1" customWidth="1"/>
    <col min="11796" max="11796" width="12.28515625" style="434" customWidth="1"/>
    <col min="11797" max="11797" width="12.7109375" style="434" bestFit="1" customWidth="1"/>
    <col min="11798" max="11798" width="12.42578125" style="434" bestFit="1" customWidth="1"/>
    <col min="11799" max="11799" width="14.140625" style="434" customWidth="1"/>
    <col min="11800" max="11800" width="13.140625" style="434" customWidth="1"/>
    <col min="11801" max="11801" width="12.42578125" style="434" customWidth="1"/>
    <col min="11802" max="11802" width="13.7109375" style="434" customWidth="1"/>
    <col min="11803" max="11803" width="11.28515625" style="434" bestFit="1" customWidth="1"/>
    <col min="11804" max="12032" width="8.85546875" style="434"/>
    <col min="12033" max="12033" width="56.140625" style="434" customWidth="1"/>
    <col min="12034" max="12034" width="14.7109375" style="434" bestFit="1" customWidth="1"/>
    <col min="12035" max="12035" width="39.42578125" style="434" customWidth="1"/>
    <col min="12036" max="12036" width="12.42578125" style="434" bestFit="1" customWidth="1"/>
    <col min="12037" max="12037" width="13.42578125" style="434" bestFit="1" customWidth="1"/>
    <col min="12038" max="12038" width="13.42578125" style="434" customWidth="1"/>
    <col min="12039" max="12039" width="15.140625" style="434" bestFit="1" customWidth="1"/>
    <col min="12040" max="12040" width="12.42578125" style="434" customWidth="1"/>
    <col min="12041" max="12041" width="14" style="434" bestFit="1" customWidth="1"/>
    <col min="12042" max="12047" width="14.140625" style="434" customWidth="1"/>
    <col min="12048" max="12048" width="13.85546875" style="434" bestFit="1" customWidth="1"/>
    <col min="12049" max="12049" width="12.28515625" style="434" customWidth="1"/>
    <col min="12050" max="12050" width="12.7109375" style="434" bestFit="1" customWidth="1"/>
    <col min="12051" max="12051" width="12.42578125" style="434" bestFit="1" customWidth="1"/>
    <col min="12052" max="12052" width="12.28515625" style="434" customWidth="1"/>
    <col min="12053" max="12053" width="12.7109375" style="434" bestFit="1" customWidth="1"/>
    <col min="12054" max="12054" width="12.42578125" style="434" bestFit="1" customWidth="1"/>
    <col min="12055" max="12055" width="14.140625" style="434" customWidth="1"/>
    <col min="12056" max="12056" width="13.140625" style="434" customWidth="1"/>
    <col min="12057" max="12057" width="12.42578125" style="434" customWidth="1"/>
    <col min="12058" max="12058" width="13.7109375" style="434" customWidth="1"/>
    <col min="12059" max="12059" width="11.28515625" style="434" bestFit="1" customWidth="1"/>
    <col min="12060" max="12288" width="8.85546875" style="434"/>
    <col min="12289" max="12289" width="56.140625" style="434" customWidth="1"/>
    <col min="12290" max="12290" width="14.7109375" style="434" bestFit="1" customWidth="1"/>
    <col min="12291" max="12291" width="39.42578125" style="434" customWidth="1"/>
    <col min="12292" max="12292" width="12.42578125" style="434" bestFit="1" customWidth="1"/>
    <col min="12293" max="12293" width="13.42578125" style="434" bestFit="1" customWidth="1"/>
    <col min="12294" max="12294" width="13.42578125" style="434" customWidth="1"/>
    <col min="12295" max="12295" width="15.140625" style="434" bestFit="1" customWidth="1"/>
    <col min="12296" max="12296" width="12.42578125" style="434" customWidth="1"/>
    <col min="12297" max="12297" width="14" style="434" bestFit="1" customWidth="1"/>
    <col min="12298" max="12303" width="14.140625" style="434" customWidth="1"/>
    <col min="12304" max="12304" width="13.85546875" style="434" bestFit="1" customWidth="1"/>
    <col min="12305" max="12305" width="12.28515625" style="434" customWidth="1"/>
    <col min="12306" max="12306" width="12.7109375" style="434" bestFit="1" customWidth="1"/>
    <col min="12307" max="12307" width="12.42578125" style="434" bestFit="1" customWidth="1"/>
    <col min="12308" max="12308" width="12.28515625" style="434" customWidth="1"/>
    <col min="12309" max="12309" width="12.7109375" style="434" bestFit="1" customWidth="1"/>
    <col min="12310" max="12310" width="12.42578125" style="434" bestFit="1" customWidth="1"/>
    <col min="12311" max="12311" width="14.140625" style="434" customWidth="1"/>
    <col min="12312" max="12312" width="13.140625" style="434" customWidth="1"/>
    <col min="12313" max="12313" width="12.42578125" style="434" customWidth="1"/>
    <col min="12314" max="12314" width="13.7109375" style="434" customWidth="1"/>
    <col min="12315" max="12315" width="11.28515625" style="434" bestFit="1" customWidth="1"/>
    <col min="12316" max="12544" width="8.85546875" style="434"/>
    <col min="12545" max="12545" width="56.140625" style="434" customWidth="1"/>
    <col min="12546" max="12546" width="14.7109375" style="434" bestFit="1" customWidth="1"/>
    <col min="12547" max="12547" width="39.42578125" style="434" customWidth="1"/>
    <col min="12548" max="12548" width="12.42578125" style="434" bestFit="1" customWidth="1"/>
    <col min="12549" max="12549" width="13.42578125" style="434" bestFit="1" customWidth="1"/>
    <col min="12550" max="12550" width="13.42578125" style="434" customWidth="1"/>
    <col min="12551" max="12551" width="15.140625" style="434" bestFit="1" customWidth="1"/>
    <col min="12552" max="12552" width="12.42578125" style="434" customWidth="1"/>
    <col min="12553" max="12553" width="14" style="434" bestFit="1" customWidth="1"/>
    <col min="12554" max="12559" width="14.140625" style="434" customWidth="1"/>
    <col min="12560" max="12560" width="13.85546875" style="434" bestFit="1" customWidth="1"/>
    <col min="12561" max="12561" width="12.28515625" style="434" customWidth="1"/>
    <col min="12562" max="12562" width="12.7109375" style="434" bestFit="1" customWidth="1"/>
    <col min="12563" max="12563" width="12.42578125" style="434" bestFit="1" customWidth="1"/>
    <col min="12564" max="12564" width="12.28515625" style="434" customWidth="1"/>
    <col min="12565" max="12565" width="12.7109375" style="434" bestFit="1" customWidth="1"/>
    <col min="12566" max="12566" width="12.42578125" style="434" bestFit="1" customWidth="1"/>
    <col min="12567" max="12567" width="14.140625" style="434" customWidth="1"/>
    <col min="12568" max="12568" width="13.140625" style="434" customWidth="1"/>
    <col min="12569" max="12569" width="12.42578125" style="434" customWidth="1"/>
    <col min="12570" max="12570" width="13.7109375" style="434" customWidth="1"/>
    <col min="12571" max="12571" width="11.28515625" style="434" bestFit="1" customWidth="1"/>
    <col min="12572" max="12800" width="8.85546875" style="434"/>
    <col min="12801" max="12801" width="56.140625" style="434" customWidth="1"/>
    <col min="12802" max="12802" width="14.7109375" style="434" bestFit="1" customWidth="1"/>
    <col min="12803" max="12803" width="39.42578125" style="434" customWidth="1"/>
    <col min="12804" max="12804" width="12.42578125" style="434" bestFit="1" customWidth="1"/>
    <col min="12805" max="12805" width="13.42578125" style="434" bestFit="1" customWidth="1"/>
    <col min="12806" max="12806" width="13.42578125" style="434" customWidth="1"/>
    <col min="12807" max="12807" width="15.140625" style="434" bestFit="1" customWidth="1"/>
    <col min="12808" max="12808" width="12.42578125" style="434" customWidth="1"/>
    <col min="12809" max="12809" width="14" style="434" bestFit="1" customWidth="1"/>
    <col min="12810" max="12815" width="14.140625" style="434" customWidth="1"/>
    <col min="12816" max="12816" width="13.85546875" style="434" bestFit="1" customWidth="1"/>
    <col min="12817" max="12817" width="12.28515625" style="434" customWidth="1"/>
    <col min="12818" max="12818" width="12.7109375" style="434" bestFit="1" customWidth="1"/>
    <col min="12819" max="12819" width="12.42578125" style="434" bestFit="1" customWidth="1"/>
    <col min="12820" max="12820" width="12.28515625" style="434" customWidth="1"/>
    <col min="12821" max="12821" width="12.7109375" style="434" bestFit="1" customWidth="1"/>
    <col min="12822" max="12822" width="12.42578125" style="434" bestFit="1" customWidth="1"/>
    <col min="12823" max="12823" width="14.140625" style="434" customWidth="1"/>
    <col min="12824" max="12824" width="13.140625" style="434" customWidth="1"/>
    <col min="12825" max="12825" width="12.42578125" style="434" customWidth="1"/>
    <col min="12826" max="12826" width="13.7109375" style="434" customWidth="1"/>
    <col min="12827" max="12827" width="11.28515625" style="434" bestFit="1" customWidth="1"/>
    <col min="12828" max="13056" width="8.85546875" style="434"/>
    <col min="13057" max="13057" width="56.140625" style="434" customWidth="1"/>
    <col min="13058" max="13058" width="14.7109375" style="434" bestFit="1" customWidth="1"/>
    <col min="13059" max="13059" width="39.42578125" style="434" customWidth="1"/>
    <col min="13060" max="13060" width="12.42578125" style="434" bestFit="1" customWidth="1"/>
    <col min="13061" max="13061" width="13.42578125" style="434" bestFit="1" customWidth="1"/>
    <col min="13062" max="13062" width="13.42578125" style="434" customWidth="1"/>
    <col min="13063" max="13063" width="15.140625" style="434" bestFit="1" customWidth="1"/>
    <col min="13064" max="13064" width="12.42578125" style="434" customWidth="1"/>
    <col min="13065" max="13065" width="14" style="434" bestFit="1" customWidth="1"/>
    <col min="13066" max="13071" width="14.140625" style="434" customWidth="1"/>
    <col min="13072" max="13072" width="13.85546875" style="434" bestFit="1" customWidth="1"/>
    <col min="13073" max="13073" width="12.28515625" style="434" customWidth="1"/>
    <col min="13074" max="13074" width="12.7109375" style="434" bestFit="1" customWidth="1"/>
    <col min="13075" max="13075" width="12.42578125" style="434" bestFit="1" customWidth="1"/>
    <col min="13076" max="13076" width="12.28515625" style="434" customWidth="1"/>
    <col min="13077" max="13077" width="12.7109375" style="434" bestFit="1" customWidth="1"/>
    <col min="13078" max="13078" width="12.42578125" style="434" bestFit="1" customWidth="1"/>
    <col min="13079" max="13079" width="14.140625" style="434" customWidth="1"/>
    <col min="13080" max="13080" width="13.140625" style="434" customWidth="1"/>
    <col min="13081" max="13081" width="12.42578125" style="434" customWidth="1"/>
    <col min="13082" max="13082" width="13.7109375" style="434" customWidth="1"/>
    <col min="13083" max="13083" width="11.28515625" style="434" bestFit="1" customWidth="1"/>
    <col min="13084" max="13312" width="8.85546875" style="434"/>
    <col min="13313" max="13313" width="56.140625" style="434" customWidth="1"/>
    <col min="13314" max="13314" width="14.7109375" style="434" bestFit="1" customWidth="1"/>
    <col min="13315" max="13315" width="39.42578125" style="434" customWidth="1"/>
    <col min="13316" max="13316" width="12.42578125" style="434" bestFit="1" customWidth="1"/>
    <col min="13317" max="13317" width="13.42578125" style="434" bestFit="1" customWidth="1"/>
    <col min="13318" max="13318" width="13.42578125" style="434" customWidth="1"/>
    <col min="13319" max="13319" width="15.140625" style="434" bestFit="1" customWidth="1"/>
    <col min="13320" max="13320" width="12.42578125" style="434" customWidth="1"/>
    <col min="13321" max="13321" width="14" style="434" bestFit="1" customWidth="1"/>
    <col min="13322" max="13327" width="14.140625" style="434" customWidth="1"/>
    <col min="13328" max="13328" width="13.85546875" style="434" bestFit="1" customWidth="1"/>
    <col min="13329" max="13329" width="12.28515625" style="434" customWidth="1"/>
    <col min="13330" max="13330" width="12.7109375" style="434" bestFit="1" customWidth="1"/>
    <col min="13331" max="13331" width="12.42578125" style="434" bestFit="1" customWidth="1"/>
    <col min="13332" max="13332" width="12.28515625" style="434" customWidth="1"/>
    <col min="13333" max="13333" width="12.7109375" style="434" bestFit="1" customWidth="1"/>
    <col min="13334" max="13334" width="12.42578125" style="434" bestFit="1" customWidth="1"/>
    <col min="13335" max="13335" width="14.140625" style="434" customWidth="1"/>
    <col min="13336" max="13336" width="13.140625" style="434" customWidth="1"/>
    <col min="13337" max="13337" width="12.42578125" style="434" customWidth="1"/>
    <col min="13338" max="13338" width="13.7109375" style="434" customWidth="1"/>
    <col min="13339" max="13339" width="11.28515625" style="434" bestFit="1" customWidth="1"/>
    <col min="13340" max="13568" width="8.85546875" style="434"/>
    <col min="13569" max="13569" width="56.140625" style="434" customWidth="1"/>
    <col min="13570" max="13570" width="14.7109375" style="434" bestFit="1" customWidth="1"/>
    <col min="13571" max="13571" width="39.42578125" style="434" customWidth="1"/>
    <col min="13572" max="13572" width="12.42578125" style="434" bestFit="1" customWidth="1"/>
    <col min="13573" max="13573" width="13.42578125" style="434" bestFit="1" customWidth="1"/>
    <col min="13574" max="13574" width="13.42578125" style="434" customWidth="1"/>
    <col min="13575" max="13575" width="15.140625" style="434" bestFit="1" customWidth="1"/>
    <col min="13576" max="13576" width="12.42578125" style="434" customWidth="1"/>
    <col min="13577" max="13577" width="14" style="434" bestFit="1" customWidth="1"/>
    <col min="13578" max="13583" width="14.140625" style="434" customWidth="1"/>
    <col min="13584" max="13584" width="13.85546875" style="434" bestFit="1" customWidth="1"/>
    <col min="13585" max="13585" width="12.28515625" style="434" customWidth="1"/>
    <col min="13586" max="13586" width="12.7109375" style="434" bestFit="1" customWidth="1"/>
    <col min="13587" max="13587" width="12.42578125" style="434" bestFit="1" customWidth="1"/>
    <col min="13588" max="13588" width="12.28515625" style="434" customWidth="1"/>
    <col min="13589" max="13589" width="12.7109375" style="434" bestFit="1" customWidth="1"/>
    <col min="13590" max="13590" width="12.42578125" style="434" bestFit="1" customWidth="1"/>
    <col min="13591" max="13591" width="14.140625" style="434" customWidth="1"/>
    <col min="13592" max="13592" width="13.140625" style="434" customWidth="1"/>
    <col min="13593" max="13593" width="12.42578125" style="434" customWidth="1"/>
    <col min="13594" max="13594" width="13.7109375" style="434" customWidth="1"/>
    <col min="13595" max="13595" width="11.28515625" style="434" bestFit="1" customWidth="1"/>
    <col min="13596" max="13824" width="8.85546875" style="434"/>
    <col min="13825" max="13825" width="56.140625" style="434" customWidth="1"/>
    <col min="13826" max="13826" width="14.7109375" style="434" bestFit="1" customWidth="1"/>
    <col min="13827" max="13827" width="39.42578125" style="434" customWidth="1"/>
    <col min="13828" max="13828" width="12.42578125" style="434" bestFit="1" customWidth="1"/>
    <col min="13829" max="13829" width="13.42578125" style="434" bestFit="1" customWidth="1"/>
    <col min="13830" max="13830" width="13.42578125" style="434" customWidth="1"/>
    <col min="13831" max="13831" width="15.140625" style="434" bestFit="1" customWidth="1"/>
    <col min="13832" max="13832" width="12.42578125" style="434" customWidth="1"/>
    <col min="13833" max="13833" width="14" style="434" bestFit="1" customWidth="1"/>
    <col min="13834" max="13839" width="14.140625" style="434" customWidth="1"/>
    <col min="13840" max="13840" width="13.85546875" style="434" bestFit="1" customWidth="1"/>
    <col min="13841" max="13841" width="12.28515625" style="434" customWidth="1"/>
    <col min="13842" max="13842" width="12.7109375" style="434" bestFit="1" customWidth="1"/>
    <col min="13843" max="13843" width="12.42578125" style="434" bestFit="1" customWidth="1"/>
    <col min="13844" max="13844" width="12.28515625" style="434" customWidth="1"/>
    <col min="13845" max="13845" width="12.7109375" style="434" bestFit="1" customWidth="1"/>
    <col min="13846" max="13846" width="12.42578125" style="434" bestFit="1" customWidth="1"/>
    <col min="13847" max="13847" width="14.140625" style="434" customWidth="1"/>
    <col min="13848" max="13848" width="13.140625" style="434" customWidth="1"/>
    <col min="13849" max="13849" width="12.42578125" style="434" customWidth="1"/>
    <col min="13850" max="13850" width="13.7109375" style="434" customWidth="1"/>
    <col min="13851" max="13851" width="11.28515625" style="434" bestFit="1" customWidth="1"/>
    <col min="13852" max="14080" width="8.85546875" style="434"/>
    <col min="14081" max="14081" width="56.140625" style="434" customWidth="1"/>
    <col min="14082" max="14082" width="14.7109375" style="434" bestFit="1" customWidth="1"/>
    <col min="14083" max="14083" width="39.42578125" style="434" customWidth="1"/>
    <col min="14084" max="14084" width="12.42578125" style="434" bestFit="1" customWidth="1"/>
    <col min="14085" max="14085" width="13.42578125" style="434" bestFit="1" customWidth="1"/>
    <col min="14086" max="14086" width="13.42578125" style="434" customWidth="1"/>
    <col min="14087" max="14087" width="15.140625" style="434" bestFit="1" customWidth="1"/>
    <col min="14088" max="14088" width="12.42578125" style="434" customWidth="1"/>
    <col min="14089" max="14089" width="14" style="434" bestFit="1" customWidth="1"/>
    <col min="14090" max="14095" width="14.140625" style="434" customWidth="1"/>
    <col min="14096" max="14096" width="13.85546875" style="434" bestFit="1" customWidth="1"/>
    <col min="14097" max="14097" width="12.28515625" style="434" customWidth="1"/>
    <col min="14098" max="14098" width="12.7109375" style="434" bestFit="1" customWidth="1"/>
    <col min="14099" max="14099" width="12.42578125" style="434" bestFit="1" customWidth="1"/>
    <col min="14100" max="14100" width="12.28515625" style="434" customWidth="1"/>
    <col min="14101" max="14101" width="12.7109375" style="434" bestFit="1" customWidth="1"/>
    <col min="14102" max="14102" width="12.42578125" style="434" bestFit="1" customWidth="1"/>
    <col min="14103" max="14103" width="14.140625" style="434" customWidth="1"/>
    <col min="14104" max="14104" width="13.140625" style="434" customWidth="1"/>
    <col min="14105" max="14105" width="12.42578125" style="434" customWidth="1"/>
    <col min="14106" max="14106" width="13.7109375" style="434" customWidth="1"/>
    <col min="14107" max="14107" width="11.28515625" style="434" bestFit="1" customWidth="1"/>
    <col min="14108" max="14336" width="8.85546875" style="434"/>
    <col min="14337" max="14337" width="56.140625" style="434" customWidth="1"/>
    <col min="14338" max="14338" width="14.7109375" style="434" bestFit="1" customWidth="1"/>
    <col min="14339" max="14339" width="39.42578125" style="434" customWidth="1"/>
    <col min="14340" max="14340" width="12.42578125" style="434" bestFit="1" customWidth="1"/>
    <col min="14341" max="14341" width="13.42578125" style="434" bestFit="1" customWidth="1"/>
    <col min="14342" max="14342" width="13.42578125" style="434" customWidth="1"/>
    <col min="14343" max="14343" width="15.140625" style="434" bestFit="1" customWidth="1"/>
    <col min="14344" max="14344" width="12.42578125" style="434" customWidth="1"/>
    <col min="14345" max="14345" width="14" style="434" bestFit="1" customWidth="1"/>
    <col min="14346" max="14351" width="14.140625" style="434" customWidth="1"/>
    <col min="14352" max="14352" width="13.85546875" style="434" bestFit="1" customWidth="1"/>
    <col min="14353" max="14353" width="12.28515625" style="434" customWidth="1"/>
    <col min="14354" max="14354" width="12.7109375" style="434" bestFit="1" customWidth="1"/>
    <col min="14355" max="14355" width="12.42578125" style="434" bestFit="1" customWidth="1"/>
    <col min="14356" max="14356" width="12.28515625" style="434" customWidth="1"/>
    <col min="14357" max="14357" width="12.7109375" style="434" bestFit="1" customWidth="1"/>
    <col min="14358" max="14358" width="12.42578125" style="434" bestFit="1" customWidth="1"/>
    <col min="14359" max="14359" width="14.140625" style="434" customWidth="1"/>
    <col min="14360" max="14360" width="13.140625" style="434" customWidth="1"/>
    <col min="14361" max="14361" width="12.42578125" style="434" customWidth="1"/>
    <col min="14362" max="14362" width="13.7109375" style="434" customWidth="1"/>
    <col min="14363" max="14363" width="11.28515625" style="434" bestFit="1" customWidth="1"/>
    <col min="14364" max="14592" width="8.85546875" style="434"/>
    <col min="14593" max="14593" width="56.140625" style="434" customWidth="1"/>
    <col min="14594" max="14594" width="14.7109375" style="434" bestFit="1" customWidth="1"/>
    <col min="14595" max="14595" width="39.42578125" style="434" customWidth="1"/>
    <col min="14596" max="14596" width="12.42578125" style="434" bestFit="1" customWidth="1"/>
    <col min="14597" max="14597" width="13.42578125" style="434" bestFit="1" customWidth="1"/>
    <col min="14598" max="14598" width="13.42578125" style="434" customWidth="1"/>
    <col min="14599" max="14599" width="15.140625" style="434" bestFit="1" customWidth="1"/>
    <col min="14600" max="14600" width="12.42578125" style="434" customWidth="1"/>
    <col min="14601" max="14601" width="14" style="434" bestFit="1" customWidth="1"/>
    <col min="14602" max="14607" width="14.140625" style="434" customWidth="1"/>
    <col min="14608" max="14608" width="13.85546875" style="434" bestFit="1" customWidth="1"/>
    <col min="14609" max="14609" width="12.28515625" style="434" customWidth="1"/>
    <col min="14610" max="14610" width="12.7109375" style="434" bestFit="1" customWidth="1"/>
    <col min="14611" max="14611" width="12.42578125" style="434" bestFit="1" customWidth="1"/>
    <col min="14612" max="14612" width="12.28515625" style="434" customWidth="1"/>
    <col min="14613" max="14613" width="12.7109375" style="434" bestFit="1" customWidth="1"/>
    <col min="14614" max="14614" width="12.42578125" style="434" bestFit="1" customWidth="1"/>
    <col min="14615" max="14615" width="14.140625" style="434" customWidth="1"/>
    <col min="14616" max="14616" width="13.140625" style="434" customWidth="1"/>
    <col min="14617" max="14617" width="12.42578125" style="434" customWidth="1"/>
    <col min="14618" max="14618" width="13.7109375" style="434" customWidth="1"/>
    <col min="14619" max="14619" width="11.28515625" style="434" bestFit="1" customWidth="1"/>
    <col min="14620" max="14848" width="8.85546875" style="434"/>
    <col min="14849" max="14849" width="56.140625" style="434" customWidth="1"/>
    <col min="14850" max="14850" width="14.7109375" style="434" bestFit="1" customWidth="1"/>
    <col min="14851" max="14851" width="39.42578125" style="434" customWidth="1"/>
    <col min="14852" max="14852" width="12.42578125" style="434" bestFit="1" customWidth="1"/>
    <col min="14853" max="14853" width="13.42578125" style="434" bestFit="1" customWidth="1"/>
    <col min="14854" max="14854" width="13.42578125" style="434" customWidth="1"/>
    <col min="14855" max="14855" width="15.140625" style="434" bestFit="1" customWidth="1"/>
    <col min="14856" max="14856" width="12.42578125" style="434" customWidth="1"/>
    <col min="14857" max="14857" width="14" style="434" bestFit="1" customWidth="1"/>
    <col min="14858" max="14863" width="14.140625" style="434" customWidth="1"/>
    <col min="14864" max="14864" width="13.85546875" style="434" bestFit="1" customWidth="1"/>
    <col min="14865" max="14865" width="12.28515625" style="434" customWidth="1"/>
    <col min="14866" max="14866" width="12.7109375" style="434" bestFit="1" customWidth="1"/>
    <col min="14867" max="14867" width="12.42578125" style="434" bestFit="1" customWidth="1"/>
    <col min="14868" max="14868" width="12.28515625" style="434" customWidth="1"/>
    <col min="14869" max="14869" width="12.7109375" style="434" bestFit="1" customWidth="1"/>
    <col min="14870" max="14870" width="12.42578125" style="434" bestFit="1" customWidth="1"/>
    <col min="14871" max="14871" width="14.140625" style="434" customWidth="1"/>
    <col min="14872" max="14872" width="13.140625" style="434" customWidth="1"/>
    <col min="14873" max="14873" width="12.42578125" style="434" customWidth="1"/>
    <col min="14874" max="14874" width="13.7109375" style="434" customWidth="1"/>
    <col min="14875" max="14875" width="11.28515625" style="434" bestFit="1" customWidth="1"/>
    <col min="14876" max="15104" width="8.85546875" style="434"/>
    <col min="15105" max="15105" width="56.140625" style="434" customWidth="1"/>
    <col min="15106" max="15106" width="14.7109375" style="434" bestFit="1" customWidth="1"/>
    <col min="15107" max="15107" width="39.42578125" style="434" customWidth="1"/>
    <col min="15108" max="15108" width="12.42578125" style="434" bestFit="1" customWidth="1"/>
    <col min="15109" max="15109" width="13.42578125" style="434" bestFit="1" customWidth="1"/>
    <col min="15110" max="15110" width="13.42578125" style="434" customWidth="1"/>
    <col min="15111" max="15111" width="15.140625" style="434" bestFit="1" customWidth="1"/>
    <col min="15112" max="15112" width="12.42578125" style="434" customWidth="1"/>
    <col min="15113" max="15113" width="14" style="434" bestFit="1" customWidth="1"/>
    <col min="15114" max="15119" width="14.140625" style="434" customWidth="1"/>
    <col min="15120" max="15120" width="13.85546875" style="434" bestFit="1" customWidth="1"/>
    <col min="15121" max="15121" width="12.28515625" style="434" customWidth="1"/>
    <col min="15122" max="15122" width="12.7109375" style="434" bestFit="1" customWidth="1"/>
    <col min="15123" max="15123" width="12.42578125" style="434" bestFit="1" customWidth="1"/>
    <col min="15124" max="15124" width="12.28515625" style="434" customWidth="1"/>
    <col min="15125" max="15125" width="12.7109375" style="434" bestFit="1" customWidth="1"/>
    <col min="15126" max="15126" width="12.42578125" style="434" bestFit="1" customWidth="1"/>
    <col min="15127" max="15127" width="14.140625" style="434" customWidth="1"/>
    <col min="15128" max="15128" width="13.140625" style="434" customWidth="1"/>
    <col min="15129" max="15129" width="12.42578125" style="434" customWidth="1"/>
    <col min="15130" max="15130" width="13.7109375" style="434" customWidth="1"/>
    <col min="15131" max="15131" width="11.28515625" style="434" bestFit="1" customWidth="1"/>
    <col min="15132" max="15360" width="8.85546875" style="434"/>
    <col min="15361" max="15361" width="56.140625" style="434" customWidth="1"/>
    <col min="15362" max="15362" width="14.7109375" style="434" bestFit="1" customWidth="1"/>
    <col min="15363" max="15363" width="39.42578125" style="434" customWidth="1"/>
    <col min="15364" max="15364" width="12.42578125" style="434" bestFit="1" customWidth="1"/>
    <col min="15365" max="15365" width="13.42578125" style="434" bestFit="1" customWidth="1"/>
    <col min="15366" max="15366" width="13.42578125" style="434" customWidth="1"/>
    <col min="15367" max="15367" width="15.140625" style="434" bestFit="1" customWidth="1"/>
    <col min="15368" max="15368" width="12.42578125" style="434" customWidth="1"/>
    <col min="15369" max="15369" width="14" style="434" bestFit="1" customWidth="1"/>
    <col min="15370" max="15375" width="14.140625" style="434" customWidth="1"/>
    <col min="15376" max="15376" width="13.85546875" style="434" bestFit="1" customWidth="1"/>
    <col min="15377" max="15377" width="12.28515625" style="434" customWidth="1"/>
    <col min="15378" max="15378" width="12.7109375" style="434" bestFit="1" customWidth="1"/>
    <col min="15379" max="15379" width="12.42578125" style="434" bestFit="1" customWidth="1"/>
    <col min="15380" max="15380" width="12.28515625" style="434" customWidth="1"/>
    <col min="15381" max="15381" width="12.7109375" style="434" bestFit="1" customWidth="1"/>
    <col min="15382" max="15382" width="12.42578125" style="434" bestFit="1" customWidth="1"/>
    <col min="15383" max="15383" width="14.140625" style="434" customWidth="1"/>
    <col min="15384" max="15384" width="13.140625" style="434" customWidth="1"/>
    <col min="15385" max="15385" width="12.42578125" style="434" customWidth="1"/>
    <col min="15386" max="15386" width="13.7109375" style="434" customWidth="1"/>
    <col min="15387" max="15387" width="11.28515625" style="434" bestFit="1" customWidth="1"/>
    <col min="15388" max="15616" width="8.85546875" style="434"/>
    <col min="15617" max="15617" width="56.140625" style="434" customWidth="1"/>
    <col min="15618" max="15618" width="14.7109375" style="434" bestFit="1" customWidth="1"/>
    <col min="15619" max="15619" width="39.42578125" style="434" customWidth="1"/>
    <col min="15620" max="15620" width="12.42578125" style="434" bestFit="1" customWidth="1"/>
    <col min="15621" max="15621" width="13.42578125" style="434" bestFit="1" customWidth="1"/>
    <col min="15622" max="15622" width="13.42578125" style="434" customWidth="1"/>
    <col min="15623" max="15623" width="15.140625" style="434" bestFit="1" customWidth="1"/>
    <col min="15624" max="15624" width="12.42578125" style="434" customWidth="1"/>
    <col min="15625" max="15625" width="14" style="434" bestFit="1" customWidth="1"/>
    <col min="15626" max="15631" width="14.140625" style="434" customWidth="1"/>
    <col min="15632" max="15632" width="13.85546875" style="434" bestFit="1" customWidth="1"/>
    <col min="15633" max="15633" width="12.28515625" style="434" customWidth="1"/>
    <col min="15634" max="15634" width="12.7109375" style="434" bestFit="1" customWidth="1"/>
    <col min="15635" max="15635" width="12.42578125" style="434" bestFit="1" customWidth="1"/>
    <col min="15636" max="15636" width="12.28515625" style="434" customWidth="1"/>
    <col min="15637" max="15637" width="12.7109375" style="434" bestFit="1" customWidth="1"/>
    <col min="15638" max="15638" width="12.42578125" style="434" bestFit="1" customWidth="1"/>
    <col min="15639" max="15639" width="14.140625" style="434" customWidth="1"/>
    <col min="15640" max="15640" width="13.140625" style="434" customWidth="1"/>
    <col min="15641" max="15641" width="12.42578125" style="434" customWidth="1"/>
    <col min="15642" max="15642" width="13.7109375" style="434" customWidth="1"/>
    <col min="15643" max="15643" width="11.28515625" style="434" bestFit="1" customWidth="1"/>
    <col min="15644" max="15872" width="8.85546875" style="434"/>
    <col min="15873" max="15873" width="56.140625" style="434" customWidth="1"/>
    <col min="15874" max="15874" width="14.7109375" style="434" bestFit="1" customWidth="1"/>
    <col min="15875" max="15875" width="39.42578125" style="434" customWidth="1"/>
    <col min="15876" max="15876" width="12.42578125" style="434" bestFit="1" customWidth="1"/>
    <col min="15877" max="15877" width="13.42578125" style="434" bestFit="1" customWidth="1"/>
    <col min="15878" max="15878" width="13.42578125" style="434" customWidth="1"/>
    <col min="15879" max="15879" width="15.140625" style="434" bestFit="1" customWidth="1"/>
    <col min="15880" max="15880" width="12.42578125" style="434" customWidth="1"/>
    <col min="15881" max="15881" width="14" style="434" bestFit="1" customWidth="1"/>
    <col min="15882" max="15887" width="14.140625" style="434" customWidth="1"/>
    <col min="15888" max="15888" width="13.85546875" style="434" bestFit="1" customWidth="1"/>
    <col min="15889" max="15889" width="12.28515625" style="434" customWidth="1"/>
    <col min="15890" max="15890" width="12.7109375" style="434" bestFit="1" customWidth="1"/>
    <col min="15891" max="15891" width="12.42578125" style="434" bestFit="1" customWidth="1"/>
    <col min="15892" max="15892" width="12.28515625" style="434" customWidth="1"/>
    <col min="15893" max="15893" width="12.7109375" style="434" bestFit="1" customWidth="1"/>
    <col min="15894" max="15894" width="12.42578125" style="434" bestFit="1" customWidth="1"/>
    <col min="15895" max="15895" width="14.140625" style="434" customWidth="1"/>
    <col min="15896" max="15896" width="13.140625" style="434" customWidth="1"/>
    <col min="15897" max="15897" width="12.42578125" style="434" customWidth="1"/>
    <col min="15898" max="15898" width="13.7109375" style="434" customWidth="1"/>
    <col min="15899" max="15899" width="11.28515625" style="434" bestFit="1" customWidth="1"/>
    <col min="15900" max="16128" width="8.85546875" style="434"/>
    <col min="16129" max="16129" width="56.140625" style="434" customWidth="1"/>
    <col min="16130" max="16130" width="14.7109375" style="434" bestFit="1" customWidth="1"/>
    <col min="16131" max="16131" width="39.42578125" style="434" customWidth="1"/>
    <col min="16132" max="16132" width="12.42578125" style="434" bestFit="1" customWidth="1"/>
    <col min="16133" max="16133" width="13.42578125" style="434" bestFit="1" customWidth="1"/>
    <col min="16134" max="16134" width="13.42578125" style="434" customWidth="1"/>
    <col min="16135" max="16135" width="15.140625" style="434" bestFit="1" customWidth="1"/>
    <col min="16136" max="16136" width="12.42578125" style="434" customWidth="1"/>
    <col min="16137" max="16137" width="14" style="434" bestFit="1" customWidth="1"/>
    <col min="16138" max="16143" width="14.140625" style="434" customWidth="1"/>
    <col min="16144" max="16144" width="13.85546875" style="434" bestFit="1" customWidth="1"/>
    <col min="16145" max="16145" width="12.28515625" style="434" customWidth="1"/>
    <col min="16146" max="16146" width="12.7109375" style="434" bestFit="1" customWidth="1"/>
    <col min="16147" max="16147" width="12.42578125" style="434" bestFit="1" customWidth="1"/>
    <col min="16148" max="16148" width="12.28515625" style="434" customWidth="1"/>
    <col min="16149" max="16149" width="12.7109375" style="434" bestFit="1" customWidth="1"/>
    <col min="16150" max="16150" width="12.42578125" style="434" bestFit="1" customWidth="1"/>
    <col min="16151" max="16151" width="14.140625" style="434" customWidth="1"/>
    <col min="16152" max="16152" width="13.140625" style="434" customWidth="1"/>
    <col min="16153" max="16153" width="12.42578125" style="434" customWidth="1"/>
    <col min="16154" max="16154" width="13.7109375" style="434" customWidth="1"/>
    <col min="16155" max="16155" width="11.28515625" style="434" bestFit="1" customWidth="1"/>
    <col min="16156" max="16384" width="8.85546875" style="434"/>
  </cols>
  <sheetData>
    <row r="1" spans="1:27" ht="15" customHeight="1" x14ac:dyDescent="0.25">
      <c r="A1" s="562" t="s">
        <v>235</v>
      </c>
      <c r="B1" s="564" t="s">
        <v>236</v>
      </c>
      <c r="C1" s="566" t="s">
        <v>237</v>
      </c>
      <c r="D1" s="567" t="s">
        <v>238</v>
      </c>
      <c r="E1" s="557" t="s">
        <v>239</v>
      </c>
      <c r="F1" s="567" t="s">
        <v>240</v>
      </c>
      <c r="G1" s="557" t="s">
        <v>241</v>
      </c>
      <c r="H1" s="557" t="s">
        <v>242</v>
      </c>
      <c r="I1" s="559" t="s">
        <v>243</v>
      </c>
      <c r="J1" s="551" t="s">
        <v>244</v>
      </c>
      <c r="K1" s="552"/>
      <c r="L1" s="561" t="s">
        <v>245</v>
      </c>
      <c r="M1" s="551" t="s">
        <v>246</v>
      </c>
      <c r="N1" s="552"/>
      <c r="O1" s="561"/>
      <c r="P1" s="551" t="s">
        <v>247</v>
      </c>
      <c r="Q1" s="552"/>
      <c r="R1" s="561"/>
      <c r="S1" s="551" t="s">
        <v>248</v>
      </c>
      <c r="T1" s="552"/>
      <c r="U1" s="561"/>
      <c r="V1" s="551" t="s">
        <v>249</v>
      </c>
      <c r="W1" s="552"/>
      <c r="X1" s="561"/>
      <c r="Y1" s="551" t="s">
        <v>250</v>
      </c>
      <c r="Z1" s="552"/>
      <c r="AA1" s="553"/>
    </row>
    <row r="2" spans="1:27" ht="26.25" thickBot="1" x14ac:dyDescent="0.3">
      <c r="A2" s="563"/>
      <c r="B2" s="565"/>
      <c r="C2" s="560"/>
      <c r="D2" s="558"/>
      <c r="E2" s="558"/>
      <c r="F2" s="558"/>
      <c r="G2" s="558"/>
      <c r="H2" s="558"/>
      <c r="I2" s="560"/>
      <c r="J2" s="435" t="s">
        <v>251</v>
      </c>
      <c r="K2" s="435" t="s">
        <v>252</v>
      </c>
      <c r="L2" s="435" t="s">
        <v>253</v>
      </c>
      <c r="M2" s="435" t="s">
        <v>251</v>
      </c>
      <c r="N2" s="435" t="s">
        <v>252</v>
      </c>
      <c r="O2" s="435" t="s">
        <v>253</v>
      </c>
      <c r="P2" s="435" t="s">
        <v>251</v>
      </c>
      <c r="Q2" s="435" t="s">
        <v>252</v>
      </c>
      <c r="R2" s="435" t="s">
        <v>253</v>
      </c>
      <c r="S2" s="435" t="s">
        <v>251</v>
      </c>
      <c r="T2" s="435" t="s">
        <v>252</v>
      </c>
      <c r="U2" s="435" t="s">
        <v>253</v>
      </c>
      <c r="V2" s="435" t="s">
        <v>251</v>
      </c>
      <c r="W2" s="435" t="s">
        <v>252</v>
      </c>
      <c r="X2" s="435" t="s">
        <v>253</v>
      </c>
      <c r="Y2" s="435" t="s">
        <v>251</v>
      </c>
      <c r="Z2" s="435" t="s">
        <v>252</v>
      </c>
      <c r="AA2" s="436" t="s">
        <v>253</v>
      </c>
    </row>
    <row r="3" spans="1:27" ht="15.75" thickBot="1" x14ac:dyDescent="0.3">
      <c r="A3" s="437" t="s">
        <v>254</v>
      </c>
      <c r="B3" s="438">
        <v>100</v>
      </c>
      <c r="C3" s="439">
        <f>(B15+B19+B20)*B3</f>
        <v>22900</v>
      </c>
      <c r="D3" s="440">
        <f>B3*B16</f>
        <v>5000</v>
      </c>
      <c r="E3" s="440">
        <f>B3*E4*B17</f>
        <v>0</v>
      </c>
      <c r="F3" s="440">
        <f>B3*F4*B18</f>
        <v>15000</v>
      </c>
      <c r="G3" s="440">
        <f>B3*B21</f>
        <v>8000</v>
      </c>
      <c r="H3" s="440">
        <f>SUM(B55:B61)</f>
        <v>14000</v>
      </c>
      <c r="I3" s="441">
        <f>B3*SUM(B24:B28)*B8*B8+B3*B29*B8*5+B3*(B8-1)*B30+B3*B64/5*B8</f>
        <v>44400</v>
      </c>
      <c r="J3" s="441">
        <v>0</v>
      </c>
      <c r="K3" s="441">
        <f>IF(J4=0,0,B33)</f>
        <v>10000</v>
      </c>
      <c r="L3" s="441">
        <f>B3*J4*B41*12*B8</f>
        <v>360</v>
      </c>
      <c r="M3" s="441">
        <f>B3*M4*B48</f>
        <v>9000</v>
      </c>
      <c r="N3" s="442">
        <f>IF(M4=0,0,B34)</f>
        <v>40000</v>
      </c>
      <c r="O3" s="442">
        <f>B3*M4*B42*12*B8</f>
        <v>7200</v>
      </c>
      <c r="P3" s="441">
        <f>B3*P4*B48</f>
        <v>6000</v>
      </c>
      <c r="Q3" s="442">
        <f>IF(P4=0,0,B35)</f>
        <v>30000</v>
      </c>
      <c r="R3" s="442">
        <f>B3*P4*B43*12*B8</f>
        <v>43200</v>
      </c>
      <c r="S3" s="441">
        <f>B3*S4*B48</f>
        <v>0</v>
      </c>
      <c r="T3" s="442">
        <f>IF(S4=0,0,B36)</f>
        <v>0</v>
      </c>
      <c r="U3" s="442">
        <f>B3*S4*B44*12*B8</f>
        <v>0</v>
      </c>
      <c r="V3" s="441">
        <f>B3*V4*B49</f>
        <v>250</v>
      </c>
      <c r="W3" s="442">
        <f>IF(V4=0,0,B37)</f>
        <v>15000</v>
      </c>
      <c r="X3" s="442">
        <f>B3*V4*B45*12*B8</f>
        <v>12000</v>
      </c>
      <c r="Y3" s="441">
        <v>0</v>
      </c>
      <c r="Z3" s="442">
        <f>IF(Y4=0,0,B38)</f>
        <v>10000</v>
      </c>
      <c r="AA3" s="443">
        <f>B3*Y4*B65*12*B8</f>
        <v>24000</v>
      </c>
    </row>
    <row r="4" spans="1:27" ht="15.75" thickBot="1" x14ac:dyDescent="0.3">
      <c r="A4" s="444" t="s">
        <v>255</v>
      </c>
      <c r="B4" s="502"/>
      <c r="C4" s="502"/>
      <c r="D4" s="502"/>
      <c r="E4" s="445">
        <v>0</v>
      </c>
      <c r="F4" s="446">
        <f>(1-E4)</f>
        <v>1</v>
      </c>
      <c r="G4" s="447"/>
      <c r="H4" s="447"/>
      <c r="I4" s="502"/>
      <c r="J4" s="448">
        <f>D17</f>
        <v>0.3</v>
      </c>
      <c r="K4" s="502"/>
      <c r="L4" s="502"/>
      <c r="M4" s="448">
        <f>D18</f>
        <v>0.3</v>
      </c>
      <c r="N4" s="502"/>
      <c r="O4" s="502"/>
      <c r="P4" s="448">
        <f>D19</f>
        <v>0.2</v>
      </c>
      <c r="Q4" s="502"/>
      <c r="R4" s="502"/>
      <c r="S4" s="448">
        <f>D20</f>
        <v>0</v>
      </c>
      <c r="T4" s="502"/>
      <c r="U4" s="502"/>
      <c r="V4" s="448">
        <f>D21</f>
        <v>0.05</v>
      </c>
      <c r="W4" s="502"/>
      <c r="X4" s="502"/>
      <c r="Y4" s="448">
        <f>D22</f>
        <v>0.05</v>
      </c>
      <c r="Z4" s="502"/>
      <c r="AA4" s="502"/>
    </row>
    <row r="5" spans="1:27" ht="26.25" thickBot="1" x14ac:dyDescent="0.3">
      <c r="A5" s="449"/>
      <c r="B5" s="502"/>
      <c r="C5" s="502"/>
      <c r="D5" s="502"/>
      <c r="E5" s="450"/>
      <c r="F5" s="450"/>
      <c r="G5" s="447"/>
      <c r="H5" s="451" t="s">
        <v>256</v>
      </c>
      <c r="I5" s="452">
        <f>I3/$B$8/B8</f>
        <v>444</v>
      </c>
      <c r="J5" s="450"/>
      <c r="K5" s="451" t="s">
        <v>256</v>
      </c>
      <c r="L5" s="452">
        <f>L3/$B$8/12</f>
        <v>3</v>
      </c>
      <c r="M5" s="450"/>
      <c r="N5" s="451" t="s">
        <v>256</v>
      </c>
      <c r="O5" s="452">
        <f>O3/$B$8/12</f>
        <v>60</v>
      </c>
      <c r="P5" s="450"/>
      <c r="Q5" s="451" t="s">
        <v>256</v>
      </c>
      <c r="R5" s="452">
        <f>R3/$B$8/12</f>
        <v>360</v>
      </c>
      <c r="S5" s="453"/>
      <c r="T5" s="451" t="s">
        <v>256</v>
      </c>
      <c r="U5" s="452">
        <f>U3/$B$8/12</f>
        <v>0</v>
      </c>
      <c r="V5" s="453"/>
      <c r="W5" s="451" t="s">
        <v>256</v>
      </c>
      <c r="X5" s="452">
        <f>X3/$B$8/12</f>
        <v>100</v>
      </c>
      <c r="Y5" s="453"/>
      <c r="Z5" s="451" t="s">
        <v>256</v>
      </c>
      <c r="AA5" s="452">
        <f>AA3/$B$8/12</f>
        <v>200</v>
      </c>
    </row>
    <row r="6" spans="1:27" ht="15.75" x14ac:dyDescent="0.25">
      <c r="A6" s="454" t="s">
        <v>257</v>
      </c>
      <c r="B6" s="455">
        <f>SUM(C3:I3)</f>
        <v>109300</v>
      </c>
      <c r="C6" s="456" t="s">
        <v>258</v>
      </c>
      <c r="D6" s="457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453"/>
      <c r="R6" s="453"/>
      <c r="S6" s="502"/>
      <c r="T6" s="453"/>
      <c r="U6" s="453"/>
      <c r="V6" s="502"/>
      <c r="W6" s="453"/>
      <c r="X6" s="453"/>
      <c r="Y6" s="453"/>
      <c r="Z6" s="453"/>
      <c r="AA6" s="453"/>
    </row>
    <row r="7" spans="1:27" ht="15.75" x14ac:dyDescent="0.25">
      <c r="A7" s="458" t="s">
        <v>259</v>
      </c>
      <c r="B7" s="459">
        <f>SUM(C3:AA3)</f>
        <v>316310</v>
      </c>
      <c r="C7" s="460" t="s">
        <v>260</v>
      </c>
      <c r="D7" s="461">
        <f>D6*B8</f>
        <v>0</v>
      </c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453"/>
      <c r="R7" s="453"/>
      <c r="S7" s="502"/>
      <c r="T7" s="453"/>
      <c r="U7" s="453"/>
      <c r="V7" s="502"/>
      <c r="W7" s="453"/>
      <c r="X7" s="453"/>
      <c r="Y7" s="453"/>
      <c r="Z7" s="453"/>
      <c r="AA7" s="453"/>
    </row>
    <row r="8" spans="1:27" ht="15.75" x14ac:dyDescent="0.25">
      <c r="A8" s="458" t="s">
        <v>261</v>
      </c>
      <c r="B8" s="462">
        <v>10</v>
      </c>
      <c r="C8" s="460" t="s">
        <v>262</v>
      </c>
      <c r="D8" s="463">
        <v>0.5</v>
      </c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</row>
    <row r="9" spans="1:27" ht="15.75" x14ac:dyDescent="0.25">
      <c r="A9" s="458" t="s">
        <v>263</v>
      </c>
      <c r="B9" s="464">
        <v>0.2</v>
      </c>
      <c r="C9" s="460" t="s">
        <v>264</v>
      </c>
      <c r="D9" s="461">
        <f>D7*D8</f>
        <v>0</v>
      </c>
      <c r="E9" s="502"/>
      <c r="F9" s="502"/>
      <c r="G9" s="502"/>
      <c r="H9" s="554" t="s">
        <v>138</v>
      </c>
      <c r="I9" s="554"/>
      <c r="J9" s="554"/>
      <c r="K9" s="554"/>
      <c r="L9" s="554"/>
      <c r="M9" s="502"/>
      <c r="N9" s="502"/>
      <c r="O9" s="502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</row>
    <row r="10" spans="1:27" ht="15.75" x14ac:dyDescent="0.25">
      <c r="A10" s="458" t="s">
        <v>265</v>
      </c>
      <c r="B10" s="459">
        <f>B7/(1-B9)</f>
        <v>395387.5</v>
      </c>
      <c r="C10" s="460" t="s">
        <v>266</v>
      </c>
      <c r="D10" s="461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</row>
    <row r="11" spans="1:27" ht="16.5" thickBot="1" x14ac:dyDescent="0.3">
      <c r="A11" s="458" t="s">
        <v>267</v>
      </c>
      <c r="B11" s="459">
        <f>B6/(1-B9)</f>
        <v>136625</v>
      </c>
      <c r="C11" s="465" t="s">
        <v>268</v>
      </c>
      <c r="D11" s="466">
        <f>SUM(D9:D10)</f>
        <v>0</v>
      </c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</row>
    <row r="12" spans="1:27" ht="16.5" thickBot="1" x14ac:dyDescent="0.3">
      <c r="A12" s="467" t="s">
        <v>269</v>
      </c>
      <c r="B12" s="468">
        <f>B11/B3</f>
        <v>1366.25</v>
      </c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</row>
    <row r="13" spans="1:27" ht="15.75" thickBot="1" x14ac:dyDescent="0.3">
      <c r="A13" s="453"/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</row>
    <row r="14" spans="1:27" ht="15.75" thickBot="1" x14ac:dyDescent="0.3">
      <c r="A14" s="469" t="s">
        <v>270</v>
      </c>
      <c r="B14" s="470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</row>
    <row r="15" spans="1:27" x14ac:dyDescent="0.25">
      <c r="A15" s="471" t="s">
        <v>271</v>
      </c>
      <c r="B15" s="472">
        <v>200</v>
      </c>
      <c r="C15" s="473"/>
      <c r="D15" s="474" t="s">
        <v>39</v>
      </c>
      <c r="E15" s="474" t="s">
        <v>272</v>
      </c>
      <c r="F15" s="475" t="s">
        <v>273</v>
      </c>
      <c r="G15" s="502"/>
      <c r="H15" s="502"/>
      <c r="I15" s="502"/>
      <c r="J15" s="502"/>
      <c r="K15" s="502"/>
      <c r="L15" s="502"/>
      <c r="M15" s="502"/>
      <c r="N15" s="502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</row>
    <row r="16" spans="1:27" x14ac:dyDescent="0.25">
      <c r="A16" s="471" t="s">
        <v>274</v>
      </c>
      <c r="B16" s="472">
        <v>50</v>
      </c>
      <c r="C16" s="476" t="s">
        <v>275</v>
      </c>
      <c r="D16" s="477"/>
      <c r="E16" s="478">
        <f>C3+G3+H3+F3+E3+D3</f>
        <v>64900</v>
      </c>
      <c r="F16" s="479">
        <f>I3</f>
        <v>44400</v>
      </c>
      <c r="G16" s="502"/>
      <c r="H16" s="502"/>
      <c r="I16" s="502"/>
      <c r="J16" s="502"/>
      <c r="K16" s="502"/>
      <c r="L16" s="502"/>
      <c r="M16" s="502"/>
      <c r="N16" s="502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</row>
    <row r="17" spans="1:27" s="481" customFormat="1" x14ac:dyDescent="0.25">
      <c r="A17" s="471" t="s">
        <v>276</v>
      </c>
      <c r="B17" s="472">
        <v>20</v>
      </c>
      <c r="C17" s="476" t="s">
        <v>244</v>
      </c>
      <c r="D17" s="480">
        <v>0.3</v>
      </c>
      <c r="E17" s="478">
        <f>J3+K3</f>
        <v>10000</v>
      </c>
      <c r="F17" s="479">
        <f>L3</f>
        <v>360</v>
      </c>
      <c r="G17" s="502"/>
      <c r="H17" s="502"/>
      <c r="I17" s="502"/>
      <c r="J17" s="502"/>
      <c r="K17" s="502"/>
      <c r="L17" s="502"/>
      <c r="M17" s="502"/>
      <c r="N17" s="502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</row>
    <row r="18" spans="1:27" s="481" customFormat="1" x14ac:dyDescent="0.25">
      <c r="A18" s="471" t="s">
        <v>277</v>
      </c>
      <c r="B18" s="472">
        <v>150</v>
      </c>
      <c r="C18" s="476" t="s">
        <v>246</v>
      </c>
      <c r="D18" s="480">
        <v>0.3</v>
      </c>
      <c r="E18" s="478">
        <f>M3+N3</f>
        <v>49000</v>
      </c>
      <c r="F18" s="482">
        <f>O3</f>
        <v>7200</v>
      </c>
      <c r="G18" s="502"/>
      <c r="H18" s="502"/>
      <c r="I18" s="502"/>
      <c r="J18" s="502"/>
      <c r="K18" s="502"/>
      <c r="L18" s="502"/>
      <c r="M18" s="502"/>
      <c r="N18" s="502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</row>
    <row r="19" spans="1:27" s="481" customFormat="1" x14ac:dyDescent="0.25">
      <c r="A19" s="471" t="s">
        <v>278</v>
      </c>
      <c r="B19" s="472">
        <v>20</v>
      </c>
      <c r="C19" s="476" t="s">
        <v>247</v>
      </c>
      <c r="D19" s="480">
        <v>0.2</v>
      </c>
      <c r="E19" s="478">
        <f>P3+Q3</f>
        <v>36000</v>
      </c>
      <c r="F19" s="482">
        <f>R3</f>
        <v>43200</v>
      </c>
      <c r="G19" s="502"/>
      <c r="H19" s="502"/>
      <c r="I19" s="502"/>
      <c r="J19" s="502"/>
      <c r="K19" s="502"/>
      <c r="L19" s="502"/>
      <c r="M19" s="502"/>
      <c r="N19" s="502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</row>
    <row r="20" spans="1:27" s="481" customFormat="1" x14ac:dyDescent="0.25">
      <c r="A20" s="471" t="s">
        <v>279</v>
      </c>
      <c r="B20" s="472">
        <v>9</v>
      </c>
      <c r="C20" s="476" t="s">
        <v>248</v>
      </c>
      <c r="D20" s="480">
        <v>0</v>
      </c>
      <c r="E20" s="478">
        <f>S3+T3</f>
        <v>0</v>
      </c>
      <c r="F20" s="482">
        <f>U3</f>
        <v>0</v>
      </c>
      <c r="G20" s="502"/>
      <c r="H20" s="502"/>
      <c r="I20" s="502"/>
      <c r="J20" s="502"/>
      <c r="K20" s="502"/>
      <c r="L20" s="502"/>
      <c r="M20" s="502"/>
      <c r="N20" s="502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</row>
    <row r="21" spans="1:27" s="481" customFormat="1" ht="15.75" thickBot="1" x14ac:dyDescent="0.3">
      <c r="A21" s="483" t="s">
        <v>280</v>
      </c>
      <c r="B21" s="484">
        <v>80</v>
      </c>
      <c r="C21" s="476" t="s">
        <v>249</v>
      </c>
      <c r="D21" s="480">
        <v>0.05</v>
      </c>
      <c r="E21" s="478">
        <f>V3+W3</f>
        <v>15250</v>
      </c>
      <c r="F21" s="482">
        <f>X3</f>
        <v>12000</v>
      </c>
      <c r="G21" s="502"/>
      <c r="H21" s="502"/>
      <c r="I21" s="502"/>
      <c r="J21" s="502"/>
      <c r="K21" s="502"/>
      <c r="L21" s="502"/>
      <c r="M21" s="502"/>
      <c r="N21" s="502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</row>
    <row r="22" spans="1:27" s="481" customFormat="1" ht="15.75" thickBot="1" x14ac:dyDescent="0.3">
      <c r="A22" s="485"/>
      <c r="B22" s="486"/>
      <c r="C22" s="476" t="s">
        <v>250</v>
      </c>
      <c r="D22" s="480">
        <v>0.05</v>
      </c>
      <c r="E22" s="478">
        <f>Y3+Z3</f>
        <v>10000</v>
      </c>
      <c r="F22" s="482">
        <f>AA3</f>
        <v>24000</v>
      </c>
      <c r="G22" s="502"/>
      <c r="H22" s="502"/>
      <c r="I22" s="502"/>
      <c r="J22" s="502"/>
      <c r="K22" s="502"/>
      <c r="L22" s="502"/>
      <c r="M22" s="502"/>
      <c r="N22" s="502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</row>
    <row r="23" spans="1:27" s="481" customFormat="1" ht="15.75" thickBot="1" x14ac:dyDescent="0.3">
      <c r="A23" s="469" t="s">
        <v>281</v>
      </c>
      <c r="B23" s="487"/>
      <c r="C23" s="488" t="s">
        <v>65</v>
      </c>
      <c r="D23" s="489"/>
      <c r="E23" s="490">
        <f>SUM(E16:E22)</f>
        <v>185150</v>
      </c>
      <c r="F23" s="491">
        <f>SUM(F16:F22)</f>
        <v>131160</v>
      </c>
      <c r="G23" s="492" t="s">
        <v>138</v>
      </c>
      <c r="H23" s="502"/>
      <c r="I23" s="502"/>
      <c r="J23" s="502"/>
      <c r="K23" s="502"/>
      <c r="L23" s="502"/>
      <c r="M23" s="502"/>
      <c r="N23" s="502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</row>
    <row r="24" spans="1:27" s="481" customFormat="1" ht="15.75" thickBot="1" x14ac:dyDescent="0.25">
      <c r="A24" s="471" t="s">
        <v>282</v>
      </c>
      <c r="B24" s="493">
        <v>1.2</v>
      </c>
      <c r="C24" s="503" t="s">
        <v>319</v>
      </c>
      <c r="D24" s="504"/>
      <c r="E24" s="505">
        <f>E23/(1-B9)</f>
        <v>231437.5</v>
      </c>
      <c r="F24" s="506">
        <f>F23/(1-B9)</f>
        <v>163950</v>
      </c>
      <c r="G24" s="502"/>
      <c r="H24" s="502"/>
      <c r="I24" s="502"/>
      <c r="J24" s="502"/>
      <c r="K24" s="502"/>
      <c r="L24" s="502"/>
      <c r="M24" s="502"/>
      <c r="N24" s="502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</row>
    <row r="25" spans="1:27" s="481" customFormat="1" x14ac:dyDescent="0.25">
      <c r="A25" s="471" t="s">
        <v>283</v>
      </c>
      <c r="B25" s="493">
        <v>0.25</v>
      </c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</row>
    <row r="26" spans="1:27" s="481" customFormat="1" x14ac:dyDescent="0.25">
      <c r="A26" s="471" t="s">
        <v>284</v>
      </c>
      <c r="B26" s="493">
        <v>0.1</v>
      </c>
      <c r="C26" s="502"/>
      <c r="D26" s="502"/>
      <c r="E26" s="502"/>
      <c r="F26" s="492"/>
      <c r="G26" s="502"/>
      <c r="H26" s="502"/>
      <c r="I26" s="502"/>
      <c r="J26" s="502"/>
      <c r="K26" s="502"/>
      <c r="L26" s="502"/>
      <c r="M26" s="502"/>
      <c r="N26" s="502"/>
      <c r="O26" s="502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</row>
    <row r="27" spans="1:27" s="481" customFormat="1" ht="15.75" thickBot="1" x14ac:dyDescent="0.3">
      <c r="A27" s="471" t="s">
        <v>285</v>
      </c>
      <c r="B27" s="493">
        <v>0.3</v>
      </c>
      <c r="C27" s="502"/>
      <c r="D27" s="502"/>
      <c r="E27" s="502"/>
      <c r="F27" s="502"/>
      <c r="G27" s="502"/>
      <c r="H27" s="502"/>
      <c r="I27" s="502"/>
      <c r="J27" s="502"/>
      <c r="K27" s="502"/>
      <c r="L27" s="502"/>
      <c r="M27" s="502"/>
      <c r="N27" s="502"/>
      <c r="O27" s="502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</row>
    <row r="28" spans="1:27" s="481" customFormat="1" ht="15.75" thickBot="1" x14ac:dyDescent="0.3">
      <c r="A28" s="471" t="s">
        <v>286</v>
      </c>
      <c r="B28" s="493">
        <v>0</v>
      </c>
      <c r="C28" s="502"/>
      <c r="D28" s="502"/>
      <c r="E28" s="502"/>
      <c r="F28" s="507" t="s">
        <v>320</v>
      </c>
      <c r="G28" s="508">
        <f>F24/12</f>
        <v>13662.5</v>
      </c>
      <c r="H28" s="502"/>
      <c r="I28" s="502"/>
      <c r="J28" s="502"/>
      <c r="K28" s="502"/>
      <c r="L28" s="502"/>
      <c r="M28" s="502"/>
      <c r="N28" s="502"/>
      <c r="O28" s="502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</row>
    <row r="29" spans="1:27" s="481" customFormat="1" x14ac:dyDescent="0.25">
      <c r="A29" s="471" t="s">
        <v>287</v>
      </c>
      <c r="B29" s="493">
        <v>4</v>
      </c>
      <c r="C29" s="502"/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</row>
    <row r="30" spans="1:27" s="481" customFormat="1" ht="15.75" thickBot="1" x14ac:dyDescent="0.3">
      <c r="A30" s="483" t="s">
        <v>288</v>
      </c>
      <c r="B30" s="494">
        <v>1</v>
      </c>
      <c r="C30" s="502"/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502"/>
      <c r="O30" s="502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</row>
    <row r="31" spans="1:27" ht="15.75" thickBot="1" x14ac:dyDescent="0.3">
      <c r="A31" s="495"/>
      <c r="B31" s="449"/>
      <c r="C31" s="502"/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</row>
    <row r="32" spans="1:27" s="481" customFormat="1" x14ac:dyDescent="0.25">
      <c r="A32" s="469" t="s">
        <v>289</v>
      </c>
      <c r="B32" s="496"/>
      <c r="C32" s="502"/>
      <c r="D32" s="502"/>
      <c r="E32" s="502"/>
      <c r="F32" s="502"/>
      <c r="G32" s="502"/>
      <c r="H32" s="502"/>
      <c r="I32" s="502"/>
      <c r="J32" s="502"/>
      <c r="K32" s="502"/>
      <c r="L32" s="502"/>
      <c r="M32" s="502"/>
      <c r="N32" s="502"/>
      <c r="O32" s="502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3"/>
    </row>
    <row r="33" spans="1:27" s="481" customFormat="1" x14ac:dyDescent="0.25">
      <c r="A33" s="471" t="s">
        <v>290</v>
      </c>
      <c r="B33" s="493">
        <v>10000</v>
      </c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</row>
    <row r="34" spans="1:27" s="481" customFormat="1" x14ac:dyDescent="0.25">
      <c r="A34" s="471" t="s">
        <v>291</v>
      </c>
      <c r="B34" s="493">
        <v>40000</v>
      </c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</row>
    <row r="35" spans="1:27" s="481" customFormat="1" x14ac:dyDescent="0.25">
      <c r="A35" s="471" t="s">
        <v>292</v>
      </c>
      <c r="B35" s="493">
        <v>30000</v>
      </c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</row>
    <row r="36" spans="1:27" s="481" customFormat="1" x14ac:dyDescent="0.25">
      <c r="A36" s="471" t="s">
        <v>293</v>
      </c>
      <c r="B36" s="493">
        <v>15000</v>
      </c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</row>
    <row r="37" spans="1:27" s="481" customFormat="1" x14ac:dyDescent="0.25">
      <c r="A37" s="471" t="s">
        <v>294</v>
      </c>
      <c r="B37" s="493">
        <v>15000</v>
      </c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</row>
    <row r="38" spans="1:27" s="481" customFormat="1" ht="15.75" thickBot="1" x14ac:dyDescent="0.3">
      <c r="A38" s="483" t="s">
        <v>295</v>
      </c>
      <c r="B38" s="494">
        <v>10000</v>
      </c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</row>
    <row r="39" spans="1:27" x14ac:dyDescent="0.25"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</row>
    <row r="40" spans="1:27" s="481" customFormat="1" x14ac:dyDescent="0.25">
      <c r="A40" s="497" t="s">
        <v>296</v>
      </c>
      <c r="B40" s="498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453"/>
      <c r="Q40" s="453"/>
      <c r="R40" s="453"/>
      <c r="S40" s="453"/>
      <c r="T40" s="453"/>
      <c r="U40" s="453"/>
      <c r="V40" s="453"/>
      <c r="W40" s="453"/>
      <c r="X40" s="453"/>
      <c r="Y40" s="453"/>
      <c r="Z40" s="453"/>
      <c r="AA40" s="453"/>
    </row>
    <row r="41" spans="1:27" s="481" customFormat="1" x14ac:dyDescent="0.25">
      <c r="A41" s="499" t="s">
        <v>297</v>
      </c>
      <c r="B41" s="500">
        <v>0.1</v>
      </c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  <c r="AA41" s="453"/>
    </row>
    <row r="42" spans="1:27" s="481" customFormat="1" x14ac:dyDescent="0.25">
      <c r="A42" s="499" t="s">
        <v>298</v>
      </c>
      <c r="B42" s="500">
        <v>2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  <c r="AA42" s="453"/>
    </row>
    <row r="43" spans="1:27" s="481" customFormat="1" x14ac:dyDescent="0.25">
      <c r="A43" s="499" t="s">
        <v>299</v>
      </c>
      <c r="B43" s="500">
        <v>18</v>
      </c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</row>
    <row r="44" spans="1:27" s="481" customFormat="1" x14ac:dyDescent="0.25">
      <c r="A44" s="499" t="s">
        <v>300</v>
      </c>
      <c r="B44" s="500">
        <v>30</v>
      </c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</row>
    <row r="45" spans="1:27" s="481" customFormat="1" x14ac:dyDescent="0.25">
      <c r="A45" s="499" t="s">
        <v>301</v>
      </c>
      <c r="B45" s="500">
        <v>20</v>
      </c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 ht="15.75" thickBot="1" x14ac:dyDescent="0.3"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 s="481" customFormat="1" x14ac:dyDescent="0.25">
      <c r="A47" s="469" t="s">
        <v>302</v>
      </c>
      <c r="B47" s="496"/>
      <c r="C47" s="502"/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</row>
    <row r="48" spans="1:27" s="481" customFormat="1" x14ac:dyDescent="0.25">
      <c r="A48" s="471" t="s">
        <v>303</v>
      </c>
      <c r="B48" s="493">
        <v>300</v>
      </c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</row>
    <row r="49" spans="1:27" s="481" customFormat="1" x14ac:dyDescent="0.25">
      <c r="A49" s="471" t="s">
        <v>304</v>
      </c>
      <c r="B49" s="493">
        <v>50</v>
      </c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</row>
    <row r="50" spans="1:27" s="481" customFormat="1" x14ac:dyDescent="0.25">
      <c r="A50" s="471"/>
      <c r="B50" s="493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</row>
    <row r="51" spans="1:27" s="481" customFormat="1" x14ac:dyDescent="0.25">
      <c r="A51" s="471"/>
      <c r="B51" s="493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  <c r="AA51" s="453"/>
    </row>
    <row r="52" spans="1:27" s="481" customFormat="1" ht="15.75" thickBot="1" x14ac:dyDescent="0.3">
      <c r="A52" s="483"/>
      <c r="B52" s="494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  <c r="AA52" s="453"/>
    </row>
    <row r="53" spans="1:27" ht="15.75" thickBot="1" x14ac:dyDescent="0.3">
      <c r="B53" s="501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</row>
    <row r="54" spans="1:27" s="481" customFormat="1" x14ac:dyDescent="0.25">
      <c r="A54" s="555" t="s">
        <v>305</v>
      </c>
      <c r="B54" s="556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</row>
    <row r="55" spans="1:27" s="481" customFormat="1" x14ac:dyDescent="0.25">
      <c r="A55" s="471" t="s">
        <v>306</v>
      </c>
      <c r="B55" s="493">
        <v>2000</v>
      </c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3"/>
      <c r="AA55" s="453"/>
    </row>
    <row r="56" spans="1:27" s="481" customFormat="1" x14ac:dyDescent="0.25">
      <c r="A56" s="471" t="s">
        <v>307</v>
      </c>
      <c r="B56" s="493">
        <v>3000</v>
      </c>
      <c r="C56" s="502"/>
      <c r="D56" s="502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  <c r="AA56" s="453"/>
    </row>
    <row r="57" spans="1:27" s="481" customFormat="1" x14ac:dyDescent="0.25">
      <c r="A57" s="471" t="s">
        <v>308</v>
      </c>
      <c r="B57" s="493">
        <v>0</v>
      </c>
      <c r="C57" s="502"/>
      <c r="D57" s="502"/>
      <c r="E57" s="502"/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</row>
    <row r="58" spans="1:27" s="481" customFormat="1" x14ac:dyDescent="0.25">
      <c r="A58" s="471" t="s">
        <v>309</v>
      </c>
      <c r="B58" s="493">
        <v>3000</v>
      </c>
      <c r="C58" s="502"/>
      <c r="D58" s="502"/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</row>
    <row r="59" spans="1:27" s="481" customFormat="1" x14ac:dyDescent="0.25">
      <c r="A59" s="471" t="s">
        <v>310</v>
      </c>
      <c r="B59" s="493">
        <v>3000</v>
      </c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453"/>
      <c r="Q59" s="453"/>
      <c r="R59" s="453"/>
      <c r="S59" s="453"/>
      <c r="T59" s="453"/>
      <c r="U59" s="453"/>
      <c r="V59" s="453"/>
      <c r="W59" s="453"/>
      <c r="X59" s="453"/>
      <c r="Y59" s="453"/>
      <c r="Z59" s="453"/>
      <c r="AA59" s="453"/>
    </row>
    <row r="60" spans="1:27" s="481" customFormat="1" x14ac:dyDescent="0.25">
      <c r="A60" s="471" t="s">
        <v>311</v>
      </c>
      <c r="B60" s="493">
        <v>500</v>
      </c>
      <c r="C60" s="502"/>
      <c r="D60" s="502"/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</row>
    <row r="61" spans="1:27" s="481" customFormat="1" ht="15.75" thickBot="1" x14ac:dyDescent="0.3">
      <c r="A61" s="483" t="s">
        <v>312</v>
      </c>
      <c r="B61" s="494">
        <v>2500</v>
      </c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</row>
    <row r="62" spans="1:27" ht="15.75" thickBot="1" x14ac:dyDescent="0.3">
      <c r="B62" s="501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453"/>
      <c r="Q62" s="453"/>
      <c r="R62" s="453"/>
      <c r="S62" s="453"/>
      <c r="T62" s="453"/>
      <c r="U62" s="453"/>
      <c r="V62" s="453"/>
      <c r="W62" s="453"/>
      <c r="X62" s="453"/>
      <c r="Y62" s="453"/>
      <c r="Z62" s="453"/>
      <c r="AA62" s="453"/>
    </row>
    <row r="63" spans="1:27" s="481" customFormat="1" x14ac:dyDescent="0.25">
      <c r="A63" s="555" t="s">
        <v>313</v>
      </c>
      <c r="B63" s="556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453"/>
      <c r="Q63" s="453"/>
      <c r="R63" s="453"/>
      <c r="S63" s="453"/>
      <c r="T63" s="453"/>
      <c r="U63" s="453"/>
      <c r="V63" s="453"/>
      <c r="W63" s="453"/>
      <c r="X63" s="453"/>
      <c r="Y63" s="453"/>
      <c r="Z63" s="453"/>
      <c r="AA63" s="453"/>
    </row>
    <row r="64" spans="1:27" s="481" customFormat="1" x14ac:dyDescent="0.25">
      <c r="A64" s="471" t="s">
        <v>314</v>
      </c>
      <c r="B64" s="493">
        <v>25</v>
      </c>
      <c r="C64" s="502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</row>
    <row r="65" spans="1:27" s="481" customFormat="1" ht="15.75" thickBot="1" x14ac:dyDescent="0.3">
      <c r="A65" s="483" t="s">
        <v>315</v>
      </c>
      <c r="B65" s="494">
        <v>40</v>
      </c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</row>
    <row r="66" spans="1:27" ht="15.75" thickBot="1" x14ac:dyDescent="0.3">
      <c r="C66" s="502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</row>
    <row r="67" spans="1:27" s="481" customFormat="1" x14ac:dyDescent="0.25">
      <c r="A67" s="568" t="s">
        <v>316</v>
      </c>
      <c r="B67" s="569"/>
      <c r="C67" s="570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</row>
    <row r="68" spans="1:27" s="481" customFormat="1" ht="15.75" thickBot="1" x14ac:dyDescent="0.3">
      <c r="A68" s="571" t="s">
        <v>317</v>
      </c>
      <c r="B68" s="572"/>
      <c r="C68" s="573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</row>
  </sheetData>
  <mergeCells count="20">
    <mergeCell ref="A67:C67"/>
    <mergeCell ref="A68:C68"/>
    <mergeCell ref="A63:B63"/>
    <mergeCell ref="S1:U1"/>
    <mergeCell ref="V1:X1"/>
    <mergeCell ref="Y1:AA1"/>
    <mergeCell ref="H9:L9"/>
    <mergeCell ref="A54:B54"/>
    <mergeCell ref="G1:G2"/>
    <mergeCell ref="H1:H2"/>
    <mergeCell ref="I1:I2"/>
    <mergeCell ref="J1:L1"/>
    <mergeCell ref="M1:O1"/>
    <mergeCell ref="P1:R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>
    <tabColor theme="6"/>
  </sheetPr>
  <dimension ref="A1:AS202"/>
  <sheetViews>
    <sheetView zoomScale="94" zoomScaleNormal="94" workbookViewId="0">
      <selection activeCell="C22" sqref="C22"/>
    </sheetView>
  </sheetViews>
  <sheetFormatPr defaultRowHeight="15" x14ac:dyDescent="0.25"/>
  <cols>
    <col min="1" max="1" width="30.42578125" style="26" customWidth="1"/>
    <col min="2" max="2" width="4.85546875" style="26" bestFit="1" customWidth="1"/>
    <col min="3" max="3" width="35.85546875" style="165" customWidth="1"/>
    <col min="4" max="4" width="7" style="26" bestFit="1" customWidth="1"/>
    <col min="5" max="5" width="7.85546875" style="26" bestFit="1" customWidth="1"/>
    <col min="6" max="6" width="0.85546875" style="51" customWidth="1"/>
    <col min="7" max="7" width="26.42578125" style="26" customWidth="1"/>
    <col min="8" max="8" width="9.7109375" style="26" bestFit="1" customWidth="1"/>
    <col min="9" max="9" width="18.5703125" style="26" customWidth="1"/>
    <col min="10" max="10" width="10.42578125" style="26" customWidth="1"/>
    <col min="11" max="11" width="12.85546875" style="26" bestFit="1" customWidth="1"/>
    <col min="12" max="12" width="15.28515625" style="26" bestFit="1" customWidth="1"/>
    <col min="13" max="13" width="19.42578125" style="26" customWidth="1"/>
    <col min="14" max="21" width="9.140625" style="51"/>
    <col min="22" max="37" width="9.140625" style="3"/>
    <col min="38" max="41" width="9.140625" style="51"/>
    <col min="42" max="16384" width="9.140625" style="26"/>
  </cols>
  <sheetData>
    <row r="1" spans="1:41" ht="15.75" thickBot="1" x14ac:dyDescent="0.3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1" ht="17.25" thickTop="1" thickBot="1" x14ac:dyDescent="0.3">
      <c r="A2" s="3"/>
      <c r="B2" s="583" t="s">
        <v>218</v>
      </c>
      <c r="C2" s="584"/>
      <c r="D2" s="584"/>
      <c r="E2" s="584"/>
      <c r="F2" s="585"/>
      <c r="G2" s="585"/>
      <c r="H2" s="585"/>
      <c r="I2" s="585"/>
      <c r="J2" s="585"/>
      <c r="K2" s="585"/>
      <c r="L2" s="585"/>
      <c r="M2" s="586"/>
      <c r="N2" s="114"/>
      <c r="O2" s="114"/>
      <c r="P2" s="114"/>
      <c r="Q2" s="114"/>
      <c r="R2" s="114"/>
      <c r="S2" s="114"/>
      <c r="T2" s="3"/>
      <c r="U2" s="3"/>
      <c r="AL2" s="26"/>
      <c r="AM2" s="26"/>
      <c r="AN2" s="26"/>
      <c r="AO2" s="26"/>
    </row>
    <row r="3" spans="1:41" x14ac:dyDescent="0.25">
      <c r="A3" s="3"/>
      <c r="B3" s="594" t="s">
        <v>209</v>
      </c>
      <c r="C3" s="595"/>
      <c r="D3" s="24">
        <v>12</v>
      </c>
      <c r="E3" s="115">
        <v>365</v>
      </c>
      <c r="F3" s="116"/>
      <c r="G3" s="587" t="s">
        <v>14</v>
      </c>
      <c r="H3" s="588"/>
      <c r="I3" s="588"/>
      <c r="J3" s="588"/>
      <c r="K3" s="588"/>
      <c r="L3" s="588"/>
      <c r="M3" s="589"/>
      <c r="N3" s="114"/>
      <c r="O3" s="114"/>
      <c r="P3" s="114"/>
      <c r="Q3" s="114"/>
      <c r="R3" s="114"/>
      <c r="S3" s="114"/>
      <c r="T3" s="3"/>
      <c r="U3" s="3"/>
      <c r="AL3" s="26"/>
      <c r="AM3" s="26"/>
      <c r="AN3" s="26"/>
      <c r="AO3" s="26"/>
    </row>
    <row r="4" spans="1:41" ht="22.5" x14ac:dyDescent="0.25">
      <c r="A4" s="3"/>
      <c r="B4" s="590" t="s">
        <v>55</v>
      </c>
      <c r="C4" s="591"/>
      <c r="D4" s="117"/>
      <c r="E4" s="118"/>
      <c r="F4" s="116"/>
      <c r="G4" s="119"/>
      <c r="H4" s="1" t="s">
        <v>15</v>
      </c>
      <c r="I4" s="1" t="s">
        <v>212</v>
      </c>
      <c r="J4" s="1" t="s">
        <v>213</v>
      </c>
      <c r="K4" s="1" t="s">
        <v>16</v>
      </c>
      <c r="L4" s="1" t="s">
        <v>17</v>
      </c>
      <c r="M4" s="9" t="s">
        <v>214</v>
      </c>
      <c r="N4" s="114"/>
      <c r="O4" s="114"/>
      <c r="P4" s="114"/>
      <c r="Q4" s="114"/>
      <c r="R4" s="114"/>
      <c r="S4" s="114"/>
      <c r="T4" s="3"/>
      <c r="U4" s="3"/>
      <c r="AL4" s="26"/>
      <c r="AM4" s="26"/>
      <c r="AN4" s="26"/>
      <c r="AO4" s="26"/>
    </row>
    <row r="5" spans="1:41" x14ac:dyDescent="0.25">
      <c r="A5" s="3"/>
      <c r="B5" s="592" t="s">
        <v>76</v>
      </c>
      <c r="C5" s="593"/>
      <c r="D5" s="120" t="s">
        <v>39</v>
      </c>
      <c r="E5" s="121">
        <v>0.24</v>
      </c>
      <c r="F5" s="116"/>
      <c r="G5" s="122" t="s">
        <v>100</v>
      </c>
      <c r="H5" s="123">
        <v>11.9</v>
      </c>
      <c r="I5" s="124">
        <v>7</v>
      </c>
      <c r="J5" s="124">
        <v>365</v>
      </c>
      <c r="K5" s="125">
        <f>H5*J5</f>
        <v>4343.5</v>
      </c>
      <c r="L5" s="126">
        <v>1</v>
      </c>
      <c r="M5" s="127">
        <f>L5*K5</f>
        <v>4343.5</v>
      </c>
      <c r="N5" s="114"/>
      <c r="O5" s="114"/>
      <c r="P5" s="114"/>
      <c r="Q5" s="114"/>
      <c r="R5" s="114"/>
      <c r="S5" s="114"/>
      <c r="T5" s="3"/>
      <c r="U5" s="3"/>
      <c r="AL5" s="26"/>
      <c r="AM5" s="26"/>
      <c r="AN5" s="26"/>
      <c r="AO5" s="26"/>
    </row>
    <row r="6" spans="1:41" ht="15" customHeight="1" x14ac:dyDescent="0.25">
      <c r="A6" s="3"/>
      <c r="B6" s="596" t="s">
        <v>103</v>
      </c>
      <c r="C6" s="597"/>
      <c r="D6" s="597"/>
      <c r="E6" s="598"/>
      <c r="F6" s="116"/>
      <c r="G6" s="128" t="s">
        <v>112</v>
      </c>
      <c r="H6" s="124">
        <v>0</v>
      </c>
      <c r="I6" s="124">
        <v>7</v>
      </c>
      <c r="J6" s="124">
        <v>365</v>
      </c>
      <c r="K6" s="125">
        <f>H6*J6</f>
        <v>0</v>
      </c>
      <c r="L6" s="126">
        <v>0.7</v>
      </c>
      <c r="M6" s="127">
        <f>L6*K6</f>
        <v>0</v>
      </c>
      <c r="N6" s="114"/>
      <c r="O6" s="114"/>
      <c r="P6" s="114"/>
      <c r="Q6" s="114"/>
      <c r="R6" s="114"/>
      <c r="S6" s="114"/>
      <c r="T6" s="3"/>
      <c r="U6" s="3"/>
      <c r="AL6" s="26"/>
      <c r="AM6" s="26"/>
      <c r="AN6" s="26"/>
      <c r="AO6" s="26"/>
    </row>
    <row r="7" spans="1:41" ht="15.75" thickBot="1" x14ac:dyDescent="0.3">
      <c r="A7" s="3"/>
      <c r="B7" s="590" t="s">
        <v>210</v>
      </c>
      <c r="C7" s="591"/>
      <c r="D7" s="28" t="s">
        <v>106</v>
      </c>
      <c r="E7" s="129" t="s">
        <v>107</v>
      </c>
      <c r="F7" s="116"/>
      <c r="G7" s="128" t="s">
        <v>6</v>
      </c>
      <c r="H7" s="130">
        <f>SUM(H5:H6)</f>
        <v>11.9</v>
      </c>
      <c r="I7" s="131"/>
      <c r="J7" s="131"/>
      <c r="K7" s="132">
        <f>SUM(K5:K6)</f>
        <v>4343.5</v>
      </c>
      <c r="L7" s="131"/>
      <c r="M7" s="133">
        <f>SUM(M5:M6)</f>
        <v>4343.5</v>
      </c>
      <c r="N7" s="114"/>
      <c r="O7" s="114"/>
      <c r="P7" s="114"/>
      <c r="Q7" s="114"/>
      <c r="R7" s="114"/>
      <c r="S7" s="114"/>
      <c r="T7" s="3"/>
      <c r="U7" s="3"/>
      <c r="AL7" s="26"/>
      <c r="AM7" s="26"/>
      <c r="AN7" s="26"/>
      <c r="AO7" s="26"/>
    </row>
    <row r="8" spans="1:41" ht="15.75" thickBot="1" x14ac:dyDescent="0.3">
      <c r="A8" s="3"/>
      <c r="B8" s="574" t="s">
        <v>58</v>
      </c>
      <c r="C8" s="575"/>
      <c r="D8" s="116" t="s">
        <v>57</v>
      </c>
      <c r="E8" s="134">
        <v>0.15</v>
      </c>
      <c r="F8" s="116"/>
      <c r="G8" s="135" t="s">
        <v>74</v>
      </c>
      <c r="H8" s="136">
        <f>H7</f>
        <v>11.9</v>
      </c>
      <c r="I8" s="137"/>
      <c r="J8" s="137"/>
      <c r="K8" s="602" t="s">
        <v>101</v>
      </c>
      <c r="L8" s="603"/>
      <c r="M8" s="138">
        <f>H7*M7/K7</f>
        <v>11.9</v>
      </c>
      <c r="N8" s="114"/>
      <c r="O8" s="114"/>
      <c r="P8" s="114"/>
      <c r="Q8" s="114"/>
      <c r="R8" s="114"/>
      <c r="S8" s="114"/>
      <c r="T8" s="3"/>
      <c r="U8" s="3"/>
      <c r="AL8" s="26"/>
      <c r="AM8" s="26"/>
      <c r="AN8" s="26"/>
      <c r="AO8" s="26"/>
    </row>
    <row r="9" spans="1:41" ht="15" customHeight="1" x14ac:dyDescent="0.25">
      <c r="A9" s="3"/>
      <c r="B9" s="574" t="s">
        <v>166</v>
      </c>
      <c r="C9" s="575"/>
      <c r="D9" s="116" t="s">
        <v>53</v>
      </c>
      <c r="E9" s="139">
        <v>0.1479</v>
      </c>
      <c r="F9" s="116"/>
      <c r="G9" s="599" t="s">
        <v>147</v>
      </c>
      <c r="H9" s="600"/>
      <c r="I9" s="600"/>
      <c r="J9" s="600"/>
      <c r="K9" s="600"/>
      <c r="L9" s="600"/>
      <c r="M9" s="601"/>
      <c r="N9" s="114"/>
      <c r="O9" s="114"/>
      <c r="P9" s="114"/>
      <c r="Q9" s="114"/>
      <c r="R9" s="114"/>
      <c r="S9" s="114"/>
      <c r="T9" s="3"/>
      <c r="U9" s="3"/>
      <c r="AL9" s="26"/>
      <c r="AM9" s="26"/>
      <c r="AN9" s="26"/>
      <c r="AO9" s="26"/>
    </row>
    <row r="10" spans="1:41" ht="18" customHeight="1" x14ac:dyDescent="0.25">
      <c r="A10" s="3"/>
      <c r="B10" s="574" t="s">
        <v>211</v>
      </c>
      <c r="C10" s="575"/>
      <c r="D10" s="116" t="s">
        <v>39</v>
      </c>
      <c r="E10" s="134">
        <v>2.5000000000000001E-2</v>
      </c>
      <c r="F10" s="116"/>
      <c r="G10" s="140"/>
      <c r="H10" s="6" t="s">
        <v>109</v>
      </c>
      <c r="I10" s="7"/>
      <c r="J10" s="8" t="s">
        <v>15</v>
      </c>
      <c r="K10" s="8" t="s">
        <v>212</v>
      </c>
      <c r="L10" s="8" t="s">
        <v>215</v>
      </c>
      <c r="M10" s="10" t="s">
        <v>16</v>
      </c>
      <c r="N10" s="114"/>
      <c r="O10" s="114"/>
      <c r="P10" s="114"/>
      <c r="Q10" s="114"/>
      <c r="R10" s="114"/>
      <c r="S10" s="114"/>
      <c r="T10" s="3"/>
      <c r="U10" s="3"/>
      <c r="AL10" s="26"/>
      <c r="AM10" s="26"/>
      <c r="AN10" s="26"/>
      <c r="AO10" s="26"/>
    </row>
    <row r="11" spans="1:41" ht="18.75" customHeight="1" x14ac:dyDescent="0.25">
      <c r="A11" s="3"/>
      <c r="B11" s="576" t="s">
        <v>54</v>
      </c>
      <c r="C11" s="577"/>
      <c r="D11" s="28"/>
      <c r="E11" s="129" t="s">
        <v>39</v>
      </c>
      <c r="F11" s="116"/>
      <c r="G11" s="141" t="s">
        <v>110</v>
      </c>
      <c r="H11" s="142">
        <v>0.72916666666666663</v>
      </c>
      <c r="I11" s="142">
        <v>0.9375</v>
      </c>
      <c r="J11" s="143">
        <v>5</v>
      </c>
      <c r="K11" s="140">
        <v>7</v>
      </c>
      <c r="L11" s="140">
        <v>182.5</v>
      </c>
      <c r="M11" s="144">
        <v>912.5</v>
      </c>
      <c r="N11" s="114"/>
      <c r="O11" s="114"/>
      <c r="P11" s="114"/>
      <c r="Q11" s="114"/>
      <c r="R11" s="114"/>
      <c r="S11" s="114"/>
      <c r="T11" s="3"/>
      <c r="U11" s="3"/>
      <c r="AL11" s="26"/>
      <c r="AM11" s="26"/>
      <c r="AN11" s="26"/>
      <c r="AO11" s="26"/>
    </row>
    <row r="12" spans="1:41" ht="17.25" customHeight="1" thickBot="1" x14ac:dyDescent="0.3">
      <c r="A12" s="3"/>
      <c r="B12" s="574" t="s">
        <v>167</v>
      </c>
      <c r="C12" s="575"/>
      <c r="D12" s="116" t="s">
        <v>39</v>
      </c>
      <c r="E12" s="134">
        <v>1.4999999999999999E-2</v>
      </c>
      <c r="F12" s="116"/>
      <c r="G12" s="141" t="s">
        <v>111</v>
      </c>
      <c r="H12" s="142">
        <v>0.85416666666666663</v>
      </c>
      <c r="I12" s="142">
        <v>0.95833333333333337</v>
      </c>
      <c r="J12" s="145">
        <v>2.5</v>
      </c>
      <c r="K12" s="140">
        <v>7</v>
      </c>
      <c r="L12" s="140">
        <v>182.5</v>
      </c>
      <c r="M12" s="144">
        <v>456.25</v>
      </c>
      <c r="N12" s="114"/>
      <c r="O12" s="114"/>
      <c r="P12" s="114"/>
      <c r="Q12" s="114"/>
      <c r="R12" s="114"/>
      <c r="S12" s="114"/>
      <c r="T12" s="3"/>
      <c r="U12" s="3"/>
      <c r="AL12" s="26"/>
      <c r="AM12" s="26"/>
      <c r="AN12" s="26"/>
      <c r="AO12" s="26"/>
    </row>
    <row r="13" spans="1:41" ht="18.75" customHeight="1" thickBot="1" x14ac:dyDescent="0.3">
      <c r="A13" s="3"/>
      <c r="B13" s="574" t="s">
        <v>168</v>
      </c>
      <c r="C13" s="575"/>
      <c r="D13" s="116" t="s">
        <v>39</v>
      </c>
      <c r="E13" s="134">
        <v>1.4999999999999999E-2</v>
      </c>
      <c r="F13" s="116"/>
      <c r="G13" s="141" t="s">
        <v>74</v>
      </c>
      <c r="H13" s="142"/>
      <c r="I13" s="146"/>
      <c r="J13" s="147">
        <v>3.75</v>
      </c>
      <c r="K13" s="148"/>
      <c r="L13" s="149"/>
      <c r="M13" s="150"/>
      <c r="N13" s="114"/>
      <c r="O13" s="114"/>
      <c r="P13" s="114"/>
      <c r="Q13" s="114"/>
      <c r="R13" s="114"/>
      <c r="S13" s="114"/>
      <c r="T13" s="3"/>
      <c r="U13" s="3"/>
      <c r="AL13" s="26"/>
      <c r="AM13" s="26"/>
      <c r="AN13" s="26"/>
      <c r="AO13" s="26"/>
    </row>
    <row r="14" spans="1:41" ht="23.25" customHeight="1" x14ac:dyDescent="0.25">
      <c r="A14" s="3"/>
      <c r="B14" s="574" t="s">
        <v>169</v>
      </c>
      <c r="C14" s="575"/>
      <c r="D14" s="116" t="s">
        <v>39</v>
      </c>
      <c r="E14" s="134">
        <v>1.4999999999999999E-2</v>
      </c>
      <c r="F14" s="116"/>
      <c r="G14" s="580" t="s">
        <v>0</v>
      </c>
      <c r="H14" s="581"/>
      <c r="I14" s="581"/>
      <c r="J14" s="581"/>
      <c r="K14" s="582"/>
      <c r="L14" s="151">
        <v>365</v>
      </c>
      <c r="M14" s="152">
        <v>1368.75</v>
      </c>
      <c r="N14" s="114"/>
      <c r="O14" s="114"/>
      <c r="P14" s="114"/>
      <c r="Q14" s="114"/>
      <c r="R14" s="114"/>
      <c r="S14" s="114"/>
      <c r="T14" s="3"/>
      <c r="U14" s="3"/>
      <c r="AL14" s="26"/>
      <c r="AM14" s="26"/>
      <c r="AN14" s="26"/>
      <c r="AO14" s="26"/>
    </row>
    <row r="15" spans="1:41" ht="15" customHeight="1" x14ac:dyDescent="0.25">
      <c r="A15" s="3"/>
      <c r="B15" s="576" t="s">
        <v>170</v>
      </c>
      <c r="C15" s="577"/>
      <c r="D15" s="28"/>
      <c r="E15" s="129"/>
      <c r="F15" s="116"/>
      <c r="G15" s="153"/>
      <c r="H15" s="153"/>
      <c r="I15" s="153"/>
      <c r="J15" s="153"/>
      <c r="K15" s="153"/>
      <c r="L15" s="4"/>
      <c r="M15" s="5"/>
      <c r="N15" s="114"/>
      <c r="O15" s="114"/>
      <c r="P15" s="114"/>
      <c r="Q15" s="114"/>
      <c r="R15" s="114"/>
      <c r="S15" s="114"/>
      <c r="T15" s="3"/>
      <c r="U15" s="3"/>
      <c r="AL15" s="26"/>
      <c r="AM15" s="26"/>
      <c r="AN15" s="26"/>
      <c r="AO15" s="26"/>
    </row>
    <row r="16" spans="1:41" ht="15" customHeight="1" x14ac:dyDescent="0.25">
      <c r="A16" s="3"/>
      <c r="B16" s="574" t="s">
        <v>171</v>
      </c>
      <c r="C16" s="575"/>
      <c r="D16" s="116"/>
      <c r="E16" s="154">
        <v>1.149</v>
      </c>
      <c r="F16" s="116"/>
      <c r="G16" s="153"/>
      <c r="H16" s="153"/>
      <c r="I16" s="153"/>
      <c r="J16" s="153"/>
      <c r="K16" s="153"/>
      <c r="L16" s="4"/>
      <c r="M16" s="5"/>
      <c r="N16" s="114"/>
      <c r="O16" s="114"/>
      <c r="P16" s="114"/>
      <c r="Q16" s="114"/>
      <c r="R16" s="114"/>
      <c r="S16" s="114"/>
      <c r="T16" s="3"/>
      <c r="U16" s="3"/>
      <c r="AL16" s="26"/>
      <c r="AM16" s="26"/>
      <c r="AN16" s="26"/>
      <c r="AO16" s="26"/>
    </row>
    <row r="17" spans="1:45" ht="15.75" thickBot="1" x14ac:dyDescent="0.3">
      <c r="A17" s="3"/>
      <c r="B17" s="578" t="s">
        <v>18</v>
      </c>
      <c r="C17" s="579"/>
      <c r="D17" s="155" t="s">
        <v>19</v>
      </c>
      <c r="E17" s="156">
        <v>0.52</v>
      </c>
      <c r="F17" s="157"/>
      <c r="G17" s="158"/>
      <c r="H17" s="158"/>
      <c r="I17" s="159"/>
      <c r="J17" s="160"/>
      <c r="K17" s="159"/>
      <c r="L17" s="83"/>
      <c r="M17" s="84"/>
      <c r="N17" s="114"/>
      <c r="O17" s="114"/>
      <c r="P17" s="114"/>
      <c r="Q17" s="114"/>
      <c r="R17" s="114"/>
      <c r="S17" s="114"/>
      <c r="T17" s="3"/>
      <c r="U17" s="3"/>
      <c r="AL17" s="26"/>
      <c r="AM17" s="26"/>
      <c r="AN17" s="26"/>
      <c r="AO17" s="26"/>
    </row>
    <row r="18" spans="1:45" x14ac:dyDescent="0.25">
      <c r="A18" s="3"/>
      <c r="B18" s="3"/>
      <c r="C18" s="4"/>
      <c r="D18" s="3"/>
      <c r="E18" s="3"/>
      <c r="F18" s="112"/>
      <c r="G18" s="3"/>
      <c r="H18" s="3"/>
      <c r="I18" s="112"/>
      <c r="J18" s="112"/>
      <c r="K18" s="112"/>
      <c r="L18" s="112"/>
      <c r="M18" s="112"/>
      <c r="N18" s="114"/>
      <c r="O18" s="114"/>
      <c r="P18" s="114"/>
      <c r="Q18" s="114"/>
      <c r="R18" s="114"/>
      <c r="S18" s="114"/>
      <c r="T18" s="3"/>
      <c r="U18" s="3"/>
    </row>
    <row r="19" spans="1:45" x14ac:dyDescent="0.25">
      <c r="A19" s="3"/>
      <c r="B19" s="112"/>
      <c r="C19" s="85"/>
      <c r="D19" s="112"/>
      <c r="E19" s="112"/>
      <c r="F19" s="112"/>
      <c r="G19" s="3"/>
      <c r="H19" s="3"/>
      <c r="I19" s="112"/>
      <c r="J19" s="112"/>
      <c r="K19" s="112"/>
      <c r="L19" s="112"/>
      <c r="M19" s="112"/>
      <c r="N19" s="114"/>
      <c r="O19" s="114"/>
      <c r="P19" s="114"/>
      <c r="Q19" s="114"/>
      <c r="R19" s="114"/>
      <c r="S19" s="114"/>
      <c r="T19" s="3"/>
      <c r="U19" s="3"/>
    </row>
    <row r="20" spans="1:45" x14ac:dyDescent="0.25">
      <c r="A20" s="3"/>
      <c r="B20" s="3"/>
      <c r="C20" s="4"/>
      <c r="D20" s="3"/>
      <c r="E20" s="112"/>
      <c r="F20" s="112"/>
      <c r="G20" s="3"/>
      <c r="H20" s="3"/>
      <c r="I20" s="112"/>
      <c r="J20" s="112"/>
      <c r="K20" s="112"/>
      <c r="L20" s="112"/>
      <c r="M20" s="112"/>
      <c r="N20" s="114"/>
      <c r="O20" s="114"/>
      <c r="P20" s="114"/>
      <c r="Q20" s="114"/>
      <c r="R20" s="114"/>
      <c r="S20" s="114"/>
      <c r="T20" s="3"/>
      <c r="U20" s="3"/>
    </row>
    <row r="21" spans="1:45" x14ac:dyDescent="0.25">
      <c r="A21" s="3"/>
      <c r="B21" s="3"/>
      <c r="C21" s="4"/>
      <c r="D21" s="3"/>
      <c r="E21" s="112"/>
      <c r="F21" s="112"/>
      <c r="G21" s="3"/>
      <c r="H21" s="3"/>
      <c r="I21" s="112"/>
      <c r="J21" s="112"/>
      <c r="K21" s="112"/>
      <c r="L21" s="112"/>
      <c r="M21" s="112"/>
      <c r="N21" s="114"/>
      <c r="O21" s="114"/>
      <c r="P21" s="114"/>
      <c r="Q21" s="114"/>
      <c r="R21" s="114"/>
      <c r="S21" s="114"/>
      <c r="T21" s="3"/>
      <c r="U21" s="3"/>
    </row>
    <row r="22" spans="1:45" x14ac:dyDescent="0.25">
      <c r="A22" s="3"/>
      <c r="B22" s="3"/>
      <c r="C22" s="4"/>
      <c r="D22" s="3"/>
      <c r="E22" s="112"/>
      <c r="F22" s="112"/>
      <c r="G22" s="112"/>
      <c r="H22" s="112"/>
      <c r="I22" s="112"/>
      <c r="J22" s="112"/>
      <c r="K22" s="112"/>
      <c r="L22" s="112"/>
      <c r="M22" s="112"/>
      <c r="N22" s="114"/>
      <c r="O22" s="114"/>
      <c r="P22" s="114"/>
      <c r="Q22" s="114"/>
      <c r="R22" s="114"/>
      <c r="S22" s="114"/>
      <c r="T22" s="3"/>
      <c r="U22" s="3"/>
    </row>
    <row r="23" spans="1:45" x14ac:dyDescent="0.25">
      <c r="A23" s="3"/>
      <c r="B23" s="3"/>
      <c r="C23" s="4"/>
      <c r="D23" s="3"/>
      <c r="E23" s="112"/>
      <c r="F23" s="112"/>
      <c r="G23" s="112"/>
      <c r="H23" s="112"/>
      <c r="I23" s="112"/>
      <c r="J23" s="112"/>
      <c r="K23" s="112"/>
      <c r="L23" s="112"/>
      <c r="M23" s="112"/>
      <c r="N23" s="114"/>
      <c r="O23" s="114"/>
      <c r="P23" s="114"/>
      <c r="Q23" s="114"/>
      <c r="R23" s="114"/>
      <c r="S23" s="114"/>
      <c r="T23" s="3"/>
      <c r="U23" s="3"/>
    </row>
    <row r="24" spans="1:45" x14ac:dyDescent="0.25">
      <c r="A24" s="3"/>
      <c r="B24" s="3"/>
      <c r="C24" s="4"/>
      <c r="D24" s="3"/>
      <c r="E24" s="112"/>
      <c r="F24" s="112"/>
      <c r="G24" s="112"/>
      <c r="H24" s="112"/>
      <c r="I24" s="112"/>
      <c r="J24" s="112"/>
      <c r="K24" s="112"/>
      <c r="L24" s="112"/>
      <c r="M24" s="112"/>
      <c r="N24" s="114"/>
      <c r="O24" s="114"/>
      <c r="P24" s="114"/>
      <c r="Q24" s="114"/>
      <c r="R24" s="114"/>
      <c r="S24" s="114"/>
      <c r="T24" s="3"/>
      <c r="U24" s="3"/>
    </row>
    <row r="25" spans="1:45" x14ac:dyDescent="0.25">
      <c r="A25" s="3"/>
      <c r="B25" s="3"/>
      <c r="C25" s="4"/>
      <c r="D25" s="3"/>
      <c r="E25" s="112"/>
      <c r="F25" s="112"/>
      <c r="G25" s="112"/>
      <c r="H25" s="112"/>
      <c r="I25" s="112"/>
      <c r="J25" s="112"/>
      <c r="K25" s="112"/>
      <c r="L25" s="112"/>
      <c r="M25" s="112"/>
      <c r="N25" s="114"/>
      <c r="O25" s="114"/>
      <c r="P25" s="114"/>
      <c r="Q25" s="114"/>
      <c r="R25" s="114"/>
      <c r="S25" s="114"/>
      <c r="T25" s="3"/>
      <c r="U25" s="3"/>
    </row>
    <row r="26" spans="1:45" x14ac:dyDescent="0.25">
      <c r="A26" s="3"/>
      <c r="B26" s="3"/>
      <c r="C26" s="4"/>
      <c r="D26" s="3"/>
      <c r="E26" s="112"/>
      <c r="F26" s="112"/>
      <c r="G26" s="112"/>
      <c r="H26" s="112"/>
      <c r="I26" s="112"/>
      <c r="J26" s="112"/>
      <c r="K26" s="112"/>
      <c r="L26" s="112"/>
      <c r="M26" s="112"/>
      <c r="N26" s="114"/>
      <c r="O26" s="114"/>
      <c r="P26" s="114"/>
      <c r="Q26" s="114"/>
      <c r="R26" s="114"/>
      <c r="S26" s="114"/>
      <c r="T26" s="3"/>
      <c r="U26" s="3"/>
    </row>
    <row r="27" spans="1:45" x14ac:dyDescent="0.25">
      <c r="A27" s="3"/>
      <c r="B27" s="3"/>
      <c r="C27" s="4"/>
      <c r="D27" s="3"/>
      <c r="E27" s="161"/>
      <c r="F27" s="112"/>
      <c r="G27" s="112"/>
      <c r="H27" s="112"/>
      <c r="I27" s="112"/>
      <c r="J27" s="112"/>
      <c r="K27" s="112"/>
      <c r="L27" s="112"/>
      <c r="M27" s="112"/>
      <c r="N27" s="3"/>
      <c r="O27" s="3"/>
      <c r="P27" s="3"/>
      <c r="Q27" s="3"/>
      <c r="R27" s="3"/>
      <c r="S27" s="3"/>
      <c r="T27" s="3"/>
      <c r="U27" s="3"/>
    </row>
    <row r="28" spans="1:45" x14ac:dyDescent="0.25">
      <c r="A28" s="3"/>
      <c r="B28" s="3"/>
      <c r="C28" s="4"/>
      <c r="D28" s="3"/>
      <c r="E28" s="162"/>
      <c r="F28" s="112"/>
      <c r="G28" s="112"/>
      <c r="H28" s="112"/>
      <c r="I28" s="112"/>
      <c r="J28" s="112"/>
      <c r="K28" s="112"/>
      <c r="L28" s="112"/>
      <c r="M28" s="112"/>
      <c r="N28" s="3"/>
      <c r="O28" s="3"/>
      <c r="P28" s="3"/>
      <c r="Q28" s="3"/>
      <c r="R28" s="3"/>
      <c r="S28" s="3"/>
      <c r="T28" s="3"/>
      <c r="U28" s="3"/>
    </row>
    <row r="29" spans="1:45" ht="14.25" customHeight="1" x14ac:dyDescent="0.25">
      <c r="A29" s="3"/>
      <c r="B29" s="3"/>
      <c r="C29" s="4"/>
      <c r="D29" s="3"/>
      <c r="E29" s="112"/>
      <c r="F29" s="112"/>
      <c r="G29" s="163"/>
      <c r="H29" s="161"/>
      <c r="I29" s="112"/>
      <c r="J29" s="112"/>
      <c r="K29" s="112"/>
      <c r="L29" s="112"/>
      <c r="M29" s="112"/>
      <c r="N29" s="3"/>
      <c r="O29" s="3"/>
      <c r="P29" s="3"/>
      <c r="Q29" s="3"/>
      <c r="R29" s="3"/>
      <c r="S29" s="3"/>
      <c r="T29" s="3"/>
      <c r="U29" s="3"/>
    </row>
    <row r="30" spans="1:45" x14ac:dyDescent="0.25">
      <c r="A30" s="3"/>
      <c r="B30" s="3"/>
      <c r="C30" s="4"/>
      <c r="D30" s="3"/>
      <c r="E30" s="112"/>
      <c r="F30" s="162"/>
      <c r="G30" s="112"/>
      <c r="H30" s="112"/>
      <c r="I30" s="112"/>
      <c r="J30" s="112"/>
      <c r="K30" s="112"/>
      <c r="L30" s="112"/>
      <c r="M30" s="112"/>
      <c r="N30" s="3"/>
      <c r="O30" s="3"/>
      <c r="P30" s="3"/>
      <c r="Q30" s="3"/>
      <c r="R30" s="3"/>
      <c r="S30" s="3"/>
      <c r="T30" s="3"/>
      <c r="U30" s="3"/>
      <c r="AP30" s="51"/>
      <c r="AQ30" s="51"/>
      <c r="AR30" s="51"/>
      <c r="AS30" s="51"/>
    </row>
    <row r="31" spans="1:45" x14ac:dyDescent="0.25">
      <c r="A31" s="3"/>
      <c r="B31" s="3"/>
      <c r="C31" s="4"/>
      <c r="D31" s="3"/>
      <c r="E31" s="3"/>
      <c r="F31" s="112"/>
      <c r="G31" s="112"/>
      <c r="H31" s="112"/>
      <c r="I31" s="112"/>
      <c r="J31" s="112"/>
      <c r="K31" s="112"/>
      <c r="L31" s="112"/>
      <c r="M31" s="112"/>
      <c r="N31" s="3"/>
      <c r="O31" s="3"/>
      <c r="P31" s="3"/>
      <c r="Q31" s="3"/>
      <c r="R31" s="3"/>
      <c r="S31" s="3"/>
      <c r="T31" s="3"/>
      <c r="U31" s="3"/>
    </row>
    <row r="32" spans="1:45" s="3" customFormat="1" x14ac:dyDescent="0.25">
      <c r="C32" s="4"/>
      <c r="F32" s="112"/>
    </row>
    <row r="33" spans="3:3" s="3" customFormat="1" ht="18.75" customHeight="1" x14ac:dyDescent="0.25">
      <c r="C33" s="4"/>
    </row>
    <row r="34" spans="3:3" s="3" customFormat="1" x14ac:dyDescent="0.25">
      <c r="C34" s="4"/>
    </row>
    <row r="35" spans="3:3" s="3" customFormat="1" x14ac:dyDescent="0.25">
      <c r="C35" s="4"/>
    </row>
    <row r="36" spans="3:3" s="3" customFormat="1" x14ac:dyDescent="0.25">
      <c r="C36" s="4"/>
    </row>
    <row r="37" spans="3:3" s="3" customFormat="1" x14ac:dyDescent="0.25">
      <c r="C37" s="4"/>
    </row>
    <row r="38" spans="3:3" s="3" customFormat="1" x14ac:dyDescent="0.25">
      <c r="C38" s="4"/>
    </row>
    <row r="39" spans="3:3" s="3" customFormat="1" x14ac:dyDescent="0.25">
      <c r="C39" s="4"/>
    </row>
    <row r="40" spans="3:3" s="3" customFormat="1" x14ac:dyDescent="0.25">
      <c r="C40" s="4"/>
    </row>
    <row r="41" spans="3:3" s="3" customFormat="1" x14ac:dyDescent="0.25">
      <c r="C41" s="4"/>
    </row>
    <row r="42" spans="3:3" s="3" customFormat="1" x14ac:dyDescent="0.25">
      <c r="C42" s="4"/>
    </row>
    <row r="43" spans="3:3" s="3" customFormat="1" x14ac:dyDescent="0.25">
      <c r="C43" s="4"/>
    </row>
    <row r="44" spans="3:3" s="3" customFormat="1" x14ac:dyDescent="0.25">
      <c r="C44" s="4"/>
    </row>
    <row r="45" spans="3:3" s="3" customFormat="1" x14ac:dyDescent="0.25">
      <c r="C45" s="4"/>
    </row>
    <row r="46" spans="3:3" s="3" customFormat="1" x14ac:dyDescent="0.25">
      <c r="C46" s="4"/>
    </row>
    <row r="47" spans="3:3" s="3" customFormat="1" x14ac:dyDescent="0.25">
      <c r="C47" s="4"/>
    </row>
    <row r="48" spans="3:3" s="3" customFormat="1" x14ac:dyDescent="0.25">
      <c r="C48" s="4"/>
    </row>
    <row r="49" spans="3:3" s="3" customFormat="1" x14ac:dyDescent="0.25">
      <c r="C49" s="4"/>
    </row>
    <row r="50" spans="3:3" s="3" customFormat="1" x14ac:dyDescent="0.25">
      <c r="C50" s="4"/>
    </row>
    <row r="51" spans="3:3" s="3" customFormat="1" x14ac:dyDescent="0.25">
      <c r="C51" s="4"/>
    </row>
    <row r="52" spans="3:3" s="3" customFormat="1" x14ac:dyDescent="0.25">
      <c r="C52" s="4"/>
    </row>
    <row r="53" spans="3:3" s="3" customFormat="1" x14ac:dyDescent="0.25">
      <c r="C53" s="4"/>
    </row>
    <row r="54" spans="3:3" s="3" customFormat="1" x14ac:dyDescent="0.25">
      <c r="C54" s="4"/>
    </row>
    <row r="55" spans="3:3" s="3" customFormat="1" x14ac:dyDescent="0.25">
      <c r="C55" s="4"/>
    </row>
    <row r="56" spans="3:3" s="3" customFormat="1" x14ac:dyDescent="0.25">
      <c r="C56" s="4"/>
    </row>
    <row r="57" spans="3:3" s="3" customFormat="1" x14ac:dyDescent="0.25">
      <c r="C57" s="4"/>
    </row>
    <row r="58" spans="3:3" s="3" customFormat="1" x14ac:dyDescent="0.25">
      <c r="C58" s="4"/>
    </row>
    <row r="59" spans="3:3" s="3" customFormat="1" x14ac:dyDescent="0.25">
      <c r="C59" s="4"/>
    </row>
    <row r="60" spans="3:3" s="3" customFormat="1" x14ac:dyDescent="0.25">
      <c r="C60" s="4"/>
    </row>
    <row r="61" spans="3:3" s="3" customFormat="1" x14ac:dyDescent="0.25">
      <c r="C61" s="4"/>
    </row>
    <row r="62" spans="3:3" s="3" customFormat="1" x14ac:dyDescent="0.25">
      <c r="C62" s="4"/>
    </row>
    <row r="63" spans="3:3" s="3" customFormat="1" x14ac:dyDescent="0.25">
      <c r="C63" s="4"/>
    </row>
    <row r="64" spans="3:3" s="3" customFormat="1" x14ac:dyDescent="0.25">
      <c r="C64" s="4"/>
    </row>
    <row r="65" spans="3:3" s="3" customFormat="1" x14ac:dyDescent="0.25">
      <c r="C65" s="4"/>
    </row>
    <row r="66" spans="3:3" s="3" customFormat="1" x14ac:dyDescent="0.25">
      <c r="C66" s="4"/>
    </row>
    <row r="67" spans="3:3" s="3" customFormat="1" x14ac:dyDescent="0.25">
      <c r="C67" s="4"/>
    </row>
    <row r="68" spans="3:3" s="3" customFormat="1" x14ac:dyDescent="0.25">
      <c r="C68" s="4"/>
    </row>
    <row r="69" spans="3:3" s="3" customFormat="1" x14ac:dyDescent="0.25">
      <c r="C69" s="4"/>
    </row>
    <row r="70" spans="3:3" s="3" customFormat="1" x14ac:dyDescent="0.25">
      <c r="C70" s="4"/>
    </row>
    <row r="71" spans="3:3" s="3" customFormat="1" x14ac:dyDescent="0.25">
      <c r="C71" s="4"/>
    </row>
    <row r="72" spans="3:3" s="3" customFormat="1" x14ac:dyDescent="0.25">
      <c r="C72" s="4"/>
    </row>
    <row r="73" spans="3:3" s="3" customFormat="1" x14ac:dyDescent="0.25">
      <c r="C73" s="4"/>
    </row>
    <row r="74" spans="3:3" s="3" customFormat="1" x14ac:dyDescent="0.25">
      <c r="C74" s="4"/>
    </row>
    <row r="75" spans="3:3" s="3" customFormat="1" x14ac:dyDescent="0.25">
      <c r="C75" s="4"/>
    </row>
    <row r="76" spans="3:3" s="3" customFormat="1" x14ac:dyDescent="0.25">
      <c r="C76" s="4"/>
    </row>
    <row r="77" spans="3:3" s="3" customFormat="1" x14ac:dyDescent="0.25">
      <c r="C77" s="4"/>
    </row>
    <row r="78" spans="3:3" s="3" customFormat="1" x14ac:dyDescent="0.25">
      <c r="C78" s="4"/>
    </row>
    <row r="79" spans="3:3" s="3" customFormat="1" x14ac:dyDescent="0.25">
      <c r="C79" s="4"/>
    </row>
    <row r="80" spans="3:3" s="3" customFormat="1" x14ac:dyDescent="0.25">
      <c r="C80" s="4"/>
    </row>
    <row r="81" spans="3:3" s="3" customFormat="1" x14ac:dyDescent="0.25">
      <c r="C81" s="4"/>
    </row>
    <row r="82" spans="3:3" s="3" customFormat="1" x14ac:dyDescent="0.25">
      <c r="C82" s="4"/>
    </row>
    <row r="83" spans="3:3" s="3" customFormat="1" x14ac:dyDescent="0.25">
      <c r="C83" s="4"/>
    </row>
    <row r="84" spans="3:3" s="3" customFormat="1" x14ac:dyDescent="0.25">
      <c r="C84" s="4"/>
    </row>
    <row r="85" spans="3:3" s="3" customFormat="1" x14ac:dyDescent="0.25">
      <c r="C85" s="4"/>
    </row>
    <row r="86" spans="3:3" s="3" customFormat="1" x14ac:dyDescent="0.25">
      <c r="C86" s="4"/>
    </row>
    <row r="87" spans="3:3" s="3" customFormat="1" x14ac:dyDescent="0.25">
      <c r="C87" s="4"/>
    </row>
    <row r="88" spans="3:3" s="3" customFormat="1" x14ac:dyDescent="0.25">
      <c r="C88" s="4"/>
    </row>
    <row r="89" spans="3:3" s="3" customFormat="1" x14ac:dyDescent="0.25">
      <c r="C89" s="4"/>
    </row>
    <row r="90" spans="3:3" s="3" customFormat="1" x14ac:dyDescent="0.25">
      <c r="C90" s="4"/>
    </row>
    <row r="91" spans="3:3" s="3" customFormat="1" x14ac:dyDescent="0.25">
      <c r="C91" s="4"/>
    </row>
    <row r="92" spans="3:3" s="3" customFormat="1" x14ac:dyDescent="0.25">
      <c r="C92" s="4"/>
    </row>
    <row r="93" spans="3:3" s="3" customFormat="1" x14ac:dyDescent="0.25">
      <c r="C93" s="4"/>
    </row>
    <row r="94" spans="3:3" s="3" customFormat="1" x14ac:dyDescent="0.25">
      <c r="C94" s="4"/>
    </row>
    <row r="95" spans="3:3" s="3" customFormat="1" x14ac:dyDescent="0.25">
      <c r="C95" s="4"/>
    </row>
    <row r="96" spans="3:3" s="3" customFormat="1" x14ac:dyDescent="0.25">
      <c r="C96" s="4"/>
    </row>
    <row r="97" spans="3:3" s="3" customFormat="1" x14ac:dyDescent="0.25">
      <c r="C97" s="4"/>
    </row>
    <row r="98" spans="3:3" s="3" customFormat="1" x14ac:dyDescent="0.25">
      <c r="C98" s="4"/>
    </row>
    <row r="99" spans="3:3" s="3" customFormat="1" x14ac:dyDescent="0.25">
      <c r="C99" s="4"/>
    </row>
    <row r="100" spans="3:3" s="3" customFormat="1" x14ac:dyDescent="0.25">
      <c r="C100" s="4"/>
    </row>
    <row r="101" spans="3:3" s="3" customFormat="1" x14ac:dyDescent="0.25">
      <c r="C101" s="4"/>
    </row>
    <row r="102" spans="3:3" s="3" customFormat="1" x14ac:dyDescent="0.25">
      <c r="C102" s="4"/>
    </row>
    <row r="103" spans="3:3" s="3" customFormat="1" x14ac:dyDescent="0.25">
      <c r="C103" s="4"/>
    </row>
    <row r="104" spans="3:3" s="3" customFormat="1" x14ac:dyDescent="0.25">
      <c r="C104" s="4"/>
    </row>
    <row r="105" spans="3:3" s="3" customFormat="1" x14ac:dyDescent="0.25">
      <c r="C105" s="4"/>
    </row>
    <row r="106" spans="3:3" s="3" customFormat="1" x14ac:dyDescent="0.25">
      <c r="C106" s="4"/>
    </row>
    <row r="107" spans="3:3" s="3" customFormat="1" x14ac:dyDescent="0.25">
      <c r="C107" s="4"/>
    </row>
    <row r="108" spans="3:3" s="3" customFormat="1" x14ac:dyDescent="0.25">
      <c r="C108" s="4"/>
    </row>
    <row r="109" spans="3:3" s="3" customFormat="1" x14ac:dyDescent="0.25">
      <c r="C109" s="4"/>
    </row>
    <row r="110" spans="3:3" s="3" customFormat="1" x14ac:dyDescent="0.25">
      <c r="C110" s="4"/>
    </row>
    <row r="111" spans="3:3" s="3" customFormat="1" x14ac:dyDescent="0.25">
      <c r="C111" s="4"/>
    </row>
    <row r="112" spans="3:3" s="3" customFormat="1" x14ac:dyDescent="0.25">
      <c r="C112" s="4"/>
    </row>
    <row r="113" spans="2:13" s="3" customFormat="1" x14ac:dyDescent="0.25">
      <c r="C113" s="4"/>
    </row>
    <row r="114" spans="2:13" s="3" customFormat="1" x14ac:dyDescent="0.25">
      <c r="C114" s="4"/>
    </row>
    <row r="115" spans="2:13" s="3" customFormat="1" x14ac:dyDescent="0.25">
      <c r="C115" s="4"/>
    </row>
    <row r="116" spans="2:13" s="3" customFormat="1" x14ac:dyDescent="0.25">
      <c r="C116" s="4"/>
    </row>
    <row r="117" spans="2:13" s="3" customFormat="1" x14ac:dyDescent="0.25">
      <c r="C117" s="4"/>
    </row>
    <row r="118" spans="2:13" s="3" customFormat="1" x14ac:dyDescent="0.25">
      <c r="C118" s="4"/>
    </row>
    <row r="119" spans="2:13" s="3" customFormat="1" x14ac:dyDescent="0.25">
      <c r="C119" s="4"/>
    </row>
    <row r="120" spans="2:13" s="3" customFormat="1" x14ac:dyDescent="0.25">
      <c r="C120" s="4"/>
    </row>
    <row r="121" spans="2:13" s="3" customFormat="1" x14ac:dyDescent="0.25">
      <c r="C121" s="4"/>
    </row>
    <row r="122" spans="2:13" s="3" customFormat="1" x14ac:dyDescent="0.25">
      <c r="C122" s="4"/>
    </row>
    <row r="123" spans="2:13" s="3" customFormat="1" x14ac:dyDescent="0.25">
      <c r="C123" s="4"/>
    </row>
    <row r="124" spans="2:13" s="3" customFormat="1" x14ac:dyDescent="0.25">
      <c r="C124" s="4"/>
    </row>
    <row r="125" spans="2:13" s="3" customFormat="1" x14ac:dyDescent="0.25">
      <c r="C125" s="4"/>
    </row>
    <row r="126" spans="2:13" s="3" customFormat="1" x14ac:dyDescent="0.25">
      <c r="B126" s="51"/>
      <c r="C126" s="164"/>
      <c r="D126" s="51"/>
      <c r="E126" s="51"/>
    </row>
    <row r="127" spans="2:13" s="3" customFormat="1" x14ac:dyDescent="0.25">
      <c r="B127" s="51"/>
      <c r="C127" s="164"/>
      <c r="D127" s="51"/>
      <c r="E127" s="51"/>
      <c r="G127" s="51"/>
      <c r="H127" s="51"/>
      <c r="I127" s="51"/>
      <c r="J127" s="51"/>
      <c r="K127" s="51"/>
      <c r="L127" s="51"/>
      <c r="M127" s="51"/>
    </row>
    <row r="128" spans="2:13" s="3" customFormat="1" x14ac:dyDescent="0.25">
      <c r="B128" s="51"/>
      <c r="C128" s="164"/>
      <c r="D128" s="51"/>
      <c r="E128" s="51"/>
      <c r="F128" s="51"/>
      <c r="G128" s="51"/>
      <c r="H128" s="51"/>
      <c r="I128" s="51"/>
      <c r="J128" s="51"/>
      <c r="K128" s="51"/>
      <c r="L128" s="51"/>
      <c r="M128" s="51"/>
    </row>
    <row r="129" spans="2:45" s="3" customFormat="1" x14ac:dyDescent="0.25">
      <c r="B129" s="51"/>
      <c r="C129" s="164"/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2:45" s="3" customFormat="1" x14ac:dyDescent="0.25">
      <c r="B130" s="51"/>
      <c r="C130" s="164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2:45" s="3" customFormat="1" x14ac:dyDescent="0.25">
      <c r="B131" s="51"/>
      <c r="C131" s="164"/>
      <c r="D131" s="51"/>
      <c r="E131" s="51"/>
      <c r="F131" s="51"/>
      <c r="G131" s="51"/>
      <c r="H131" s="51"/>
      <c r="I131" s="51"/>
      <c r="J131" s="51"/>
      <c r="K131" s="51"/>
      <c r="L131" s="51"/>
      <c r="M131" s="51"/>
    </row>
    <row r="132" spans="2:45" s="3" customFormat="1" x14ac:dyDescent="0.25">
      <c r="B132" s="51"/>
      <c r="C132" s="164"/>
      <c r="D132" s="51"/>
      <c r="E132" s="51"/>
      <c r="F132" s="51"/>
      <c r="G132" s="51"/>
      <c r="H132" s="51"/>
      <c r="I132" s="51"/>
      <c r="J132" s="51"/>
      <c r="K132" s="51"/>
      <c r="L132" s="51"/>
      <c r="M132" s="51"/>
    </row>
    <row r="133" spans="2:45" s="3" customFormat="1" x14ac:dyDescent="0.25">
      <c r="B133" s="51"/>
      <c r="C133" s="164"/>
      <c r="D133" s="51"/>
      <c r="E133" s="51"/>
      <c r="F133" s="51"/>
      <c r="G133" s="51"/>
      <c r="H133" s="51"/>
      <c r="I133" s="51"/>
      <c r="J133" s="51"/>
      <c r="K133" s="51"/>
      <c r="L133" s="51"/>
      <c r="M133" s="51"/>
    </row>
    <row r="134" spans="2:45" x14ac:dyDescent="0.25">
      <c r="B134" s="51"/>
      <c r="C134" s="164"/>
      <c r="D134" s="51"/>
      <c r="E134" s="51"/>
      <c r="G134" s="51"/>
      <c r="H134" s="51"/>
      <c r="I134" s="51"/>
      <c r="J134" s="51"/>
      <c r="K134" s="51"/>
      <c r="L134" s="51"/>
      <c r="M134" s="51"/>
      <c r="AP134" s="51"/>
      <c r="AQ134" s="51"/>
      <c r="AR134" s="51"/>
      <c r="AS134" s="51"/>
    </row>
    <row r="135" spans="2:45" x14ac:dyDescent="0.25">
      <c r="B135" s="51"/>
      <c r="C135" s="164"/>
      <c r="D135" s="51"/>
      <c r="E135" s="51"/>
      <c r="G135" s="51"/>
      <c r="H135" s="51"/>
      <c r="I135" s="51"/>
      <c r="J135" s="51"/>
      <c r="K135" s="51"/>
      <c r="L135" s="51"/>
      <c r="M135" s="51"/>
      <c r="AP135" s="51"/>
      <c r="AQ135" s="51"/>
      <c r="AR135" s="51"/>
      <c r="AS135" s="51"/>
    </row>
    <row r="136" spans="2:45" x14ac:dyDescent="0.25">
      <c r="B136" s="51"/>
      <c r="C136" s="164"/>
      <c r="D136" s="51"/>
      <c r="E136" s="51"/>
      <c r="G136" s="51"/>
      <c r="H136" s="51"/>
      <c r="I136" s="51"/>
      <c r="J136" s="51"/>
      <c r="K136" s="51"/>
      <c r="L136" s="51"/>
      <c r="M136" s="51"/>
      <c r="AP136" s="51"/>
      <c r="AQ136" s="51"/>
      <c r="AR136" s="51"/>
      <c r="AS136" s="51"/>
    </row>
    <row r="137" spans="2:45" x14ac:dyDescent="0.25">
      <c r="B137" s="51"/>
      <c r="C137" s="164"/>
      <c r="D137" s="51"/>
      <c r="E137" s="51"/>
      <c r="G137" s="51"/>
      <c r="H137" s="51"/>
      <c r="I137" s="51"/>
      <c r="J137" s="51"/>
      <c r="K137" s="51"/>
      <c r="L137" s="51"/>
      <c r="M137" s="51"/>
      <c r="AP137" s="51"/>
      <c r="AQ137" s="51"/>
      <c r="AR137" s="51"/>
      <c r="AS137" s="51"/>
    </row>
    <row r="138" spans="2:45" x14ac:dyDescent="0.25">
      <c r="B138" s="51"/>
      <c r="C138" s="164"/>
      <c r="D138" s="51"/>
      <c r="E138" s="51"/>
      <c r="G138" s="51"/>
      <c r="H138" s="51"/>
      <c r="I138" s="51"/>
      <c r="J138" s="51"/>
      <c r="K138" s="51"/>
      <c r="L138" s="51"/>
      <c r="M138" s="51"/>
      <c r="AP138" s="51"/>
      <c r="AQ138" s="51"/>
      <c r="AR138" s="51"/>
      <c r="AS138" s="51"/>
    </row>
    <row r="139" spans="2:45" x14ac:dyDescent="0.25">
      <c r="B139" s="51"/>
      <c r="C139" s="164"/>
      <c r="D139" s="51"/>
      <c r="E139" s="51"/>
      <c r="G139" s="51"/>
      <c r="H139" s="51"/>
      <c r="I139" s="51"/>
      <c r="J139" s="51"/>
      <c r="K139" s="51"/>
      <c r="L139" s="51"/>
      <c r="M139" s="51"/>
      <c r="AP139" s="51"/>
      <c r="AQ139" s="51"/>
      <c r="AR139" s="51"/>
      <c r="AS139" s="51"/>
    </row>
    <row r="140" spans="2:45" x14ac:dyDescent="0.25">
      <c r="B140" s="51"/>
      <c r="C140" s="164"/>
      <c r="D140" s="51"/>
      <c r="E140" s="51"/>
      <c r="G140" s="51"/>
      <c r="H140" s="51"/>
      <c r="I140" s="51"/>
      <c r="J140" s="51"/>
      <c r="K140" s="51"/>
      <c r="L140" s="51"/>
      <c r="M140" s="51"/>
      <c r="AP140" s="51"/>
      <c r="AQ140" s="51"/>
      <c r="AR140" s="51"/>
      <c r="AS140" s="51"/>
    </row>
    <row r="141" spans="2:45" x14ac:dyDescent="0.25">
      <c r="B141" s="51"/>
      <c r="C141" s="164"/>
      <c r="D141" s="51"/>
      <c r="E141" s="51"/>
      <c r="G141" s="51"/>
      <c r="H141" s="51"/>
      <c r="I141" s="51"/>
      <c r="J141" s="51"/>
      <c r="K141" s="51"/>
      <c r="L141" s="51"/>
      <c r="M141" s="51"/>
      <c r="AP141" s="51"/>
      <c r="AQ141" s="51"/>
      <c r="AR141" s="51"/>
      <c r="AS141" s="51"/>
    </row>
    <row r="142" spans="2:45" x14ac:dyDescent="0.25">
      <c r="B142" s="51"/>
      <c r="C142" s="164"/>
      <c r="D142" s="51"/>
      <c r="E142" s="51"/>
      <c r="G142" s="51"/>
      <c r="H142" s="51"/>
      <c r="I142" s="51"/>
      <c r="J142" s="51"/>
      <c r="K142" s="51"/>
      <c r="L142" s="51"/>
      <c r="M142" s="51"/>
      <c r="AP142" s="51"/>
      <c r="AQ142" s="51"/>
      <c r="AR142" s="51"/>
      <c r="AS142" s="51"/>
    </row>
    <row r="143" spans="2:45" x14ac:dyDescent="0.25">
      <c r="B143" s="51"/>
      <c r="C143" s="164"/>
      <c r="D143" s="51"/>
      <c r="E143" s="51"/>
      <c r="G143" s="51"/>
      <c r="H143" s="51"/>
      <c r="I143" s="51"/>
      <c r="J143" s="51"/>
      <c r="K143" s="51"/>
      <c r="L143" s="51"/>
      <c r="M143" s="51"/>
      <c r="AP143" s="51"/>
      <c r="AQ143" s="51"/>
      <c r="AR143" s="51"/>
      <c r="AS143" s="51"/>
    </row>
    <row r="144" spans="2:45" x14ac:dyDescent="0.25">
      <c r="B144" s="51"/>
      <c r="C144" s="164"/>
      <c r="D144" s="51"/>
      <c r="E144" s="51"/>
      <c r="G144" s="51"/>
      <c r="H144" s="51"/>
      <c r="I144" s="51"/>
      <c r="J144" s="51"/>
      <c r="K144" s="51"/>
      <c r="L144" s="51"/>
      <c r="M144" s="51"/>
      <c r="AP144" s="51"/>
      <c r="AQ144" s="51"/>
      <c r="AR144" s="51"/>
      <c r="AS144" s="51"/>
    </row>
    <row r="145" spans="2:45" x14ac:dyDescent="0.25">
      <c r="B145" s="51"/>
      <c r="C145" s="164"/>
      <c r="D145" s="51"/>
      <c r="E145" s="51"/>
      <c r="G145" s="51"/>
      <c r="H145" s="51"/>
      <c r="I145" s="51"/>
      <c r="J145" s="51"/>
      <c r="K145" s="51"/>
      <c r="L145" s="51"/>
      <c r="M145" s="51"/>
      <c r="AP145" s="51"/>
      <c r="AQ145" s="51"/>
      <c r="AR145" s="51"/>
      <c r="AS145" s="51"/>
    </row>
    <row r="146" spans="2:45" x14ac:dyDescent="0.25">
      <c r="B146" s="51"/>
      <c r="C146" s="164"/>
      <c r="D146" s="51"/>
      <c r="E146" s="51"/>
      <c r="G146" s="51"/>
      <c r="H146" s="51"/>
      <c r="I146" s="51"/>
      <c r="J146" s="51"/>
      <c r="K146" s="51"/>
      <c r="L146" s="51"/>
      <c r="M146" s="51"/>
      <c r="AP146" s="51"/>
      <c r="AQ146" s="51"/>
      <c r="AR146" s="51"/>
      <c r="AS146" s="51"/>
    </row>
    <row r="147" spans="2:45" x14ac:dyDescent="0.25">
      <c r="B147" s="51"/>
      <c r="C147" s="164"/>
      <c r="D147" s="51"/>
      <c r="E147" s="51"/>
      <c r="G147" s="51"/>
      <c r="H147" s="51"/>
      <c r="I147" s="51"/>
      <c r="J147" s="51"/>
      <c r="K147" s="51"/>
      <c r="L147" s="51"/>
      <c r="M147" s="51"/>
      <c r="AP147" s="51"/>
      <c r="AQ147" s="51"/>
      <c r="AR147" s="51"/>
      <c r="AS147" s="51"/>
    </row>
    <row r="148" spans="2:45" x14ac:dyDescent="0.25">
      <c r="B148" s="51"/>
      <c r="C148" s="164"/>
      <c r="D148" s="51"/>
      <c r="E148" s="51"/>
      <c r="G148" s="51"/>
      <c r="H148" s="51"/>
      <c r="I148" s="51"/>
      <c r="J148" s="51"/>
      <c r="K148" s="51"/>
      <c r="L148" s="51"/>
      <c r="M148" s="51"/>
      <c r="AP148" s="51"/>
      <c r="AQ148" s="51"/>
      <c r="AR148" s="51"/>
      <c r="AS148" s="51"/>
    </row>
    <row r="149" spans="2:45" x14ac:dyDescent="0.25">
      <c r="B149" s="51"/>
      <c r="C149" s="164"/>
      <c r="D149" s="51"/>
      <c r="E149" s="51"/>
      <c r="G149" s="51"/>
      <c r="H149" s="51"/>
      <c r="I149" s="51"/>
      <c r="J149" s="51"/>
      <c r="K149" s="51"/>
      <c r="L149" s="51"/>
      <c r="M149" s="51"/>
      <c r="AP149" s="51"/>
      <c r="AQ149" s="51"/>
      <c r="AR149" s="51"/>
      <c r="AS149" s="51"/>
    </row>
    <row r="150" spans="2:45" x14ac:dyDescent="0.25">
      <c r="B150" s="51"/>
      <c r="C150" s="164"/>
      <c r="D150" s="51"/>
      <c r="E150" s="51"/>
      <c r="G150" s="51"/>
      <c r="H150" s="51"/>
      <c r="I150" s="51"/>
      <c r="J150" s="51"/>
      <c r="K150" s="51"/>
      <c r="L150" s="51"/>
      <c r="M150" s="51"/>
      <c r="AP150" s="51"/>
      <c r="AQ150" s="51"/>
      <c r="AR150" s="51"/>
      <c r="AS150" s="51"/>
    </row>
    <row r="151" spans="2:45" x14ac:dyDescent="0.25">
      <c r="B151" s="51"/>
      <c r="C151" s="164"/>
      <c r="D151" s="51"/>
      <c r="E151" s="51"/>
      <c r="G151" s="51"/>
      <c r="H151" s="51"/>
      <c r="I151" s="51"/>
      <c r="J151" s="51"/>
      <c r="K151" s="51"/>
      <c r="L151" s="51"/>
      <c r="M151" s="51"/>
      <c r="AP151" s="51"/>
      <c r="AQ151" s="51"/>
      <c r="AR151" s="51"/>
      <c r="AS151" s="51"/>
    </row>
    <row r="152" spans="2:45" x14ac:dyDescent="0.25">
      <c r="B152" s="51"/>
      <c r="C152" s="164"/>
      <c r="D152" s="51"/>
      <c r="E152" s="51"/>
      <c r="G152" s="51"/>
      <c r="H152" s="51"/>
      <c r="I152" s="51"/>
      <c r="J152" s="51"/>
      <c r="K152" s="51"/>
      <c r="L152" s="51"/>
      <c r="M152" s="51"/>
      <c r="AP152" s="51"/>
      <c r="AQ152" s="51"/>
      <c r="AR152" s="51"/>
      <c r="AS152" s="51"/>
    </row>
    <row r="153" spans="2:45" x14ac:dyDescent="0.25">
      <c r="B153" s="51"/>
      <c r="C153" s="164"/>
      <c r="D153" s="51"/>
      <c r="E153" s="51"/>
      <c r="G153" s="51"/>
      <c r="H153" s="51"/>
      <c r="I153" s="51"/>
      <c r="J153" s="51"/>
      <c r="K153" s="51"/>
      <c r="L153" s="51"/>
      <c r="M153" s="51"/>
      <c r="AP153" s="51"/>
      <c r="AQ153" s="51"/>
      <c r="AR153" s="51"/>
      <c r="AS153" s="51"/>
    </row>
    <row r="154" spans="2:45" x14ac:dyDescent="0.25">
      <c r="B154" s="51"/>
      <c r="C154" s="164"/>
      <c r="D154" s="51"/>
      <c r="E154" s="51"/>
      <c r="G154" s="51"/>
      <c r="H154" s="51"/>
      <c r="I154" s="51"/>
      <c r="J154" s="51"/>
      <c r="K154" s="51"/>
      <c r="L154" s="51"/>
      <c r="M154" s="51"/>
      <c r="AP154" s="51"/>
      <c r="AQ154" s="51"/>
      <c r="AR154" s="51"/>
      <c r="AS154" s="51"/>
    </row>
    <row r="155" spans="2:45" x14ac:dyDescent="0.25">
      <c r="B155" s="51"/>
      <c r="C155" s="164"/>
      <c r="D155" s="51"/>
      <c r="E155" s="51"/>
      <c r="G155" s="51"/>
      <c r="H155" s="51"/>
      <c r="I155" s="51"/>
      <c r="J155" s="51"/>
      <c r="K155" s="51"/>
      <c r="L155" s="51"/>
      <c r="M155" s="51"/>
      <c r="AP155" s="51"/>
      <c r="AQ155" s="51"/>
      <c r="AR155" s="51"/>
      <c r="AS155" s="51"/>
    </row>
    <row r="156" spans="2:45" x14ac:dyDescent="0.25">
      <c r="B156" s="51"/>
      <c r="C156" s="164"/>
      <c r="D156" s="51"/>
      <c r="E156" s="51"/>
      <c r="G156" s="51"/>
      <c r="H156" s="51"/>
      <c r="I156" s="51"/>
      <c r="J156" s="51"/>
      <c r="K156" s="51"/>
      <c r="L156" s="51"/>
      <c r="M156" s="51"/>
      <c r="AP156" s="51"/>
      <c r="AQ156" s="51"/>
      <c r="AR156" s="51"/>
      <c r="AS156" s="51"/>
    </row>
    <row r="157" spans="2:45" x14ac:dyDescent="0.25">
      <c r="B157" s="51"/>
      <c r="C157" s="164"/>
      <c r="D157" s="51"/>
      <c r="E157" s="51"/>
      <c r="G157" s="51"/>
      <c r="H157" s="51"/>
      <c r="I157" s="51"/>
      <c r="J157" s="51"/>
      <c r="K157" s="51"/>
      <c r="L157" s="51"/>
      <c r="M157" s="51"/>
      <c r="AP157" s="51"/>
      <c r="AQ157" s="51"/>
      <c r="AR157" s="51"/>
      <c r="AS157" s="51"/>
    </row>
    <row r="158" spans="2:45" x14ac:dyDescent="0.25">
      <c r="B158" s="51"/>
      <c r="C158" s="164"/>
      <c r="D158" s="51"/>
      <c r="E158" s="51"/>
      <c r="G158" s="51"/>
      <c r="H158" s="51"/>
      <c r="I158" s="51"/>
      <c r="J158" s="51"/>
      <c r="K158" s="51"/>
      <c r="L158" s="51"/>
      <c r="M158" s="51"/>
      <c r="AP158" s="51"/>
      <c r="AQ158" s="51"/>
      <c r="AR158" s="51"/>
      <c r="AS158" s="51"/>
    </row>
    <row r="159" spans="2:45" x14ac:dyDescent="0.25">
      <c r="B159" s="51"/>
      <c r="C159" s="164"/>
      <c r="D159" s="51"/>
      <c r="E159" s="51"/>
      <c r="G159" s="51"/>
      <c r="H159" s="51"/>
      <c r="I159" s="51"/>
      <c r="J159" s="51"/>
      <c r="K159" s="51"/>
      <c r="L159" s="51"/>
      <c r="M159" s="51"/>
      <c r="AP159" s="51"/>
      <c r="AQ159" s="51"/>
      <c r="AR159" s="51"/>
      <c r="AS159" s="51"/>
    </row>
    <row r="160" spans="2:45" x14ac:dyDescent="0.25">
      <c r="B160" s="51"/>
      <c r="C160" s="164"/>
      <c r="D160" s="51"/>
      <c r="E160" s="51"/>
      <c r="G160" s="51"/>
      <c r="H160" s="51"/>
      <c r="I160" s="51"/>
      <c r="J160" s="51"/>
      <c r="K160" s="51"/>
      <c r="L160" s="51"/>
      <c r="M160" s="51"/>
      <c r="AP160" s="51"/>
      <c r="AQ160" s="51"/>
      <c r="AR160" s="51"/>
      <c r="AS160" s="51"/>
    </row>
    <row r="161" spans="2:45" x14ac:dyDescent="0.25">
      <c r="B161" s="51"/>
      <c r="C161" s="164"/>
      <c r="D161" s="51"/>
      <c r="E161" s="51"/>
      <c r="G161" s="51"/>
      <c r="H161" s="51"/>
      <c r="I161" s="51"/>
      <c r="J161" s="51"/>
      <c r="K161" s="51"/>
      <c r="L161" s="51"/>
      <c r="M161" s="51"/>
      <c r="AP161" s="51"/>
      <c r="AQ161" s="51"/>
      <c r="AR161" s="51"/>
      <c r="AS161" s="51"/>
    </row>
    <row r="162" spans="2:45" x14ac:dyDescent="0.25">
      <c r="B162" s="51"/>
      <c r="C162" s="164"/>
      <c r="D162" s="51"/>
      <c r="E162" s="51"/>
      <c r="G162" s="51"/>
      <c r="H162" s="51"/>
      <c r="I162" s="51"/>
      <c r="J162" s="51"/>
      <c r="K162" s="51"/>
      <c r="L162" s="51"/>
      <c r="M162" s="51"/>
      <c r="AP162" s="51"/>
      <c r="AQ162" s="51"/>
      <c r="AR162" s="51"/>
      <c r="AS162" s="51"/>
    </row>
    <row r="163" spans="2:45" x14ac:dyDescent="0.25">
      <c r="B163" s="51"/>
      <c r="C163" s="164"/>
      <c r="D163" s="51"/>
      <c r="E163" s="51"/>
      <c r="G163" s="51"/>
      <c r="H163" s="51"/>
      <c r="I163" s="51"/>
      <c r="J163" s="51"/>
      <c r="K163" s="51"/>
      <c r="L163" s="51"/>
      <c r="M163" s="51"/>
      <c r="AP163" s="51"/>
      <c r="AQ163" s="51"/>
      <c r="AR163" s="51"/>
      <c r="AS163" s="51"/>
    </row>
    <row r="164" spans="2:45" x14ac:dyDescent="0.25">
      <c r="B164" s="51"/>
      <c r="C164" s="164"/>
      <c r="D164" s="51"/>
      <c r="E164" s="51"/>
      <c r="G164" s="51"/>
      <c r="H164" s="51"/>
      <c r="I164" s="51"/>
      <c r="J164" s="51"/>
      <c r="K164" s="51"/>
      <c r="L164" s="51"/>
      <c r="M164" s="51"/>
      <c r="AP164" s="51"/>
      <c r="AQ164" s="51"/>
      <c r="AR164" s="51"/>
      <c r="AS164" s="51"/>
    </row>
    <row r="165" spans="2:45" x14ac:dyDescent="0.25">
      <c r="B165" s="51"/>
      <c r="C165" s="164"/>
      <c r="D165" s="51"/>
      <c r="E165" s="51"/>
      <c r="G165" s="51"/>
      <c r="H165" s="51"/>
      <c r="I165" s="51"/>
      <c r="J165" s="51"/>
      <c r="K165" s="51"/>
      <c r="L165" s="51"/>
      <c r="M165" s="51"/>
      <c r="AP165" s="51"/>
      <c r="AQ165" s="51"/>
      <c r="AR165" s="51"/>
      <c r="AS165" s="51"/>
    </row>
    <row r="166" spans="2:45" x14ac:dyDescent="0.25">
      <c r="B166" s="51"/>
      <c r="C166" s="164"/>
      <c r="D166" s="51"/>
      <c r="E166" s="51"/>
      <c r="G166" s="51"/>
      <c r="H166" s="51"/>
      <c r="I166" s="51"/>
      <c r="J166" s="51"/>
      <c r="K166" s="51"/>
      <c r="L166" s="51"/>
      <c r="M166" s="51"/>
      <c r="AP166" s="51"/>
      <c r="AQ166" s="51"/>
      <c r="AR166" s="51"/>
      <c r="AS166" s="51"/>
    </row>
    <row r="167" spans="2:45" x14ac:dyDescent="0.25">
      <c r="B167" s="51"/>
      <c r="C167" s="164"/>
      <c r="D167" s="51"/>
      <c r="E167" s="51"/>
      <c r="G167" s="51"/>
      <c r="H167" s="51"/>
      <c r="I167" s="51"/>
      <c r="J167" s="51"/>
      <c r="K167" s="51"/>
      <c r="L167" s="51"/>
      <c r="M167" s="51"/>
      <c r="AP167" s="51"/>
      <c r="AQ167" s="51"/>
      <c r="AR167" s="51"/>
      <c r="AS167" s="51"/>
    </row>
    <row r="168" spans="2:45" x14ac:dyDescent="0.25">
      <c r="B168" s="51"/>
      <c r="C168" s="164"/>
      <c r="D168" s="51"/>
      <c r="E168" s="51"/>
      <c r="G168" s="51"/>
      <c r="H168" s="51"/>
      <c r="I168" s="51"/>
      <c r="J168" s="51"/>
      <c r="K168" s="51"/>
      <c r="L168" s="51"/>
      <c r="M168" s="51"/>
      <c r="AP168" s="51"/>
      <c r="AQ168" s="51"/>
      <c r="AR168" s="51"/>
      <c r="AS168" s="51"/>
    </row>
    <row r="169" spans="2:45" x14ac:dyDescent="0.25">
      <c r="B169" s="51"/>
      <c r="C169" s="164"/>
      <c r="D169" s="51"/>
      <c r="E169" s="51"/>
      <c r="G169" s="51"/>
      <c r="H169" s="51"/>
      <c r="I169" s="51"/>
      <c r="J169" s="51"/>
      <c r="K169" s="51"/>
      <c r="L169" s="51"/>
      <c r="M169" s="51"/>
      <c r="AP169" s="51"/>
      <c r="AQ169" s="51"/>
      <c r="AR169" s="51"/>
      <c r="AS169" s="51"/>
    </row>
    <row r="170" spans="2:45" x14ac:dyDescent="0.25">
      <c r="B170" s="51"/>
      <c r="C170" s="164"/>
      <c r="D170" s="51"/>
      <c r="E170" s="51"/>
      <c r="G170" s="51"/>
      <c r="H170" s="51"/>
      <c r="I170" s="51"/>
      <c r="J170" s="51"/>
      <c r="K170" s="51"/>
      <c r="L170" s="51"/>
      <c r="M170" s="51"/>
      <c r="AP170" s="51"/>
      <c r="AQ170" s="51"/>
      <c r="AR170" s="51"/>
      <c r="AS170" s="51"/>
    </row>
    <row r="171" spans="2:45" x14ac:dyDescent="0.25">
      <c r="B171" s="51"/>
      <c r="C171" s="164"/>
      <c r="D171" s="51"/>
      <c r="E171" s="51"/>
      <c r="G171" s="51"/>
      <c r="H171" s="51"/>
      <c r="I171" s="51"/>
      <c r="J171" s="51"/>
      <c r="K171" s="51"/>
      <c r="L171" s="51"/>
      <c r="M171" s="51"/>
      <c r="AP171" s="51"/>
      <c r="AQ171" s="51"/>
      <c r="AR171" s="51"/>
      <c r="AS171" s="51"/>
    </row>
    <row r="172" spans="2:45" x14ac:dyDescent="0.25">
      <c r="B172" s="51"/>
      <c r="C172" s="164"/>
      <c r="D172" s="51"/>
      <c r="E172" s="51"/>
      <c r="G172" s="51"/>
      <c r="H172" s="51"/>
      <c r="I172" s="51"/>
      <c r="J172" s="51"/>
      <c r="K172" s="51"/>
      <c r="L172" s="51"/>
      <c r="M172" s="51"/>
      <c r="AP172" s="51"/>
      <c r="AQ172" s="51"/>
      <c r="AR172" s="51"/>
      <c r="AS172" s="51"/>
    </row>
    <row r="173" spans="2:45" x14ac:dyDescent="0.25">
      <c r="B173" s="51"/>
      <c r="C173" s="164"/>
      <c r="D173" s="51"/>
      <c r="E173" s="51"/>
      <c r="G173" s="51"/>
      <c r="H173" s="51"/>
      <c r="I173" s="51"/>
      <c r="J173" s="51"/>
      <c r="K173" s="51"/>
      <c r="L173" s="51"/>
      <c r="M173" s="51"/>
      <c r="AP173" s="51"/>
      <c r="AQ173" s="51"/>
      <c r="AR173" s="51"/>
      <c r="AS173" s="51"/>
    </row>
    <row r="174" spans="2:45" x14ac:dyDescent="0.25">
      <c r="B174" s="51"/>
      <c r="C174" s="164"/>
      <c r="D174" s="51"/>
      <c r="E174" s="51"/>
      <c r="G174" s="51"/>
      <c r="H174" s="51"/>
      <c r="I174" s="51"/>
      <c r="J174" s="51"/>
      <c r="K174" s="51"/>
      <c r="L174" s="51"/>
      <c r="M174" s="51"/>
      <c r="AP174" s="51"/>
      <c r="AQ174" s="51"/>
      <c r="AR174" s="51"/>
      <c r="AS174" s="51"/>
    </row>
    <row r="175" spans="2:45" x14ac:dyDescent="0.25">
      <c r="B175" s="51"/>
      <c r="C175" s="164"/>
      <c r="D175" s="51"/>
      <c r="E175" s="51"/>
      <c r="G175" s="51"/>
      <c r="H175" s="51"/>
      <c r="I175" s="51"/>
      <c r="J175" s="51"/>
      <c r="K175" s="51"/>
      <c r="L175" s="51"/>
      <c r="M175" s="51"/>
      <c r="AP175" s="51"/>
      <c r="AQ175" s="51"/>
      <c r="AR175" s="51"/>
      <c r="AS175" s="51"/>
    </row>
    <row r="176" spans="2:45" x14ac:dyDescent="0.25">
      <c r="B176" s="51"/>
      <c r="C176" s="164"/>
      <c r="D176" s="51"/>
      <c r="E176" s="51"/>
      <c r="G176" s="51"/>
      <c r="H176" s="51"/>
      <c r="I176" s="51"/>
      <c r="J176" s="51"/>
      <c r="K176" s="51"/>
      <c r="L176" s="51"/>
      <c r="M176" s="51"/>
      <c r="AP176" s="51"/>
      <c r="AQ176" s="51"/>
      <c r="AR176" s="51"/>
      <c r="AS176" s="51"/>
    </row>
    <row r="177" spans="2:45" x14ac:dyDescent="0.25">
      <c r="B177" s="51"/>
      <c r="C177" s="164"/>
      <c r="D177" s="51"/>
      <c r="E177" s="51"/>
      <c r="G177" s="51"/>
      <c r="H177" s="51"/>
      <c r="I177" s="51"/>
      <c r="J177" s="51"/>
      <c r="K177" s="51"/>
      <c r="L177" s="51"/>
      <c r="M177" s="51"/>
      <c r="AP177" s="51"/>
      <c r="AQ177" s="51"/>
      <c r="AR177" s="51"/>
      <c r="AS177" s="51"/>
    </row>
    <row r="178" spans="2:45" x14ac:dyDescent="0.25">
      <c r="B178" s="51"/>
      <c r="C178" s="164"/>
      <c r="D178" s="51"/>
      <c r="E178" s="51"/>
      <c r="G178" s="51"/>
      <c r="H178" s="51"/>
      <c r="I178" s="51"/>
      <c r="J178" s="51"/>
      <c r="K178" s="51"/>
      <c r="L178" s="51"/>
      <c r="M178" s="51"/>
      <c r="AP178" s="51"/>
      <c r="AQ178" s="51"/>
      <c r="AR178" s="51"/>
      <c r="AS178" s="51"/>
    </row>
    <row r="179" spans="2:45" x14ac:dyDescent="0.25">
      <c r="B179" s="51"/>
      <c r="C179" s="164"/>
      <c r="D179" s="51"/>
      <c r="E179" s="51"/>
      <c r="G179" s="51"/>
      <c r="H179" s="51"/>
      <c r="I179" s="51"/>
      <c r="J179" s="51"/>
      <c r="K179" s="51"/>
      <c r="L179" s="51"/>
      <c r="M179" s="51"/>
      <c r="AP179" s="51"/>
      <c r="AQ179" s="51"/>
      <c r="AR179" s="51"/>
      <c r="AS179" s="51"/>
    </row>
    <row r="180" spans="2:45" x14ac:dyDescent="0.25">
      <c r="B180" s="51"/>
      <c r="C180" s="164"/>
      <c r="D180" s="51"/>
      <c r="E180" s="51"/>
      <c r="G180" s="51"/>
      <c r="H180" s="51"/>
      <c r="I180" s="51"/>
      <c r="J180" s="51"/>
      <c r="K180" s="51"/>
      <c r="L180" s="51"/>
      <c r="M180" s="51"/>
      <c r="AP180" s="51"/>
      <c r="AQ180" s="51"/>
      <c r="AR180" s="51"/>
      <c r="AS180" s="51"/>
    </row>
    <row r="181" spans="2:45" x14ac:dyDescent="0.25">
      <c r="B181" s="51"/>
      <c r="C181" s="164"/>
      <c r="D181" s="51"/>
      <c r="E181" s="51"/>
      <c r="G181" s="51"/>
      <c r="H181" s="51"/>
      <c r="I181" s="51"/>
      <c r="J181" s="51"/>
      <c r="K181" s="51"/>
      <c r="L181" s="51"/>
      <c r="M181" s="51"/>
      <c r="AP181" s="51"/>
      <c r="AQ181" s="51"/>
      <c r="AR181" s="51"/>
      <c r="AS181" s="51"/>
    </row>
    <row r="182" spans="2:45" x14ac:dyDescent="0.25">
      <c r="B182" s="51"/>
      <c r="C182" s="164"/>
      <c r="D182" s="51"/>
      <c r="E182" s="51"/>
      <c r="G182" s="51"/>
      <c r="H182" s="51"/>
      <c r="I182" s="51"/>
      <c r="J182" s="51"/>
      <c r="K182" s="51"/>
      <c r="L182" s="51"/>
      <c r="M182" s="51"/>
      <c r="AP182" s="51"/>
      <c r="AQ182" s="51"/>
      <c r="AR182" s="51"/>
      <c r="AS182" s="51"/>
    </row>
    <row r="183" spans="2:45" x14ac:dyDescent="0.25">
      <c r="B183" s="51"/>
      <c r="C183" s="164"/>
      <c r="D183" s="51"/>
      <c r="E183" s="51"/>
      <c r="G183" s="51"/>
      <c r="H183" s="51"/>
      <c r="I183" s="51"/>
      <c r="J183" s="51"/>
      <c r="K183" s="51"/>
      <c r="L183" s="51"/>
      <c r="M183" s="51"/>
      <c r="AP183" s="51"/>
      <c r="AQ183" s="51"/>
      <c r="AR183" s="51"/>
      <c r="AS183" s="51"/>
    </row>
    <row r="184" spans="2:45" x14ac:dyDescent="0.25">
      <c r="B184" s="51"/>
      <c r="C184" s="164"/>
      <c r="D184" s="51"/>
      <c r="E184" s="51"/>
      <c r="G184" s="51"/>
      <c r="H184" s="51"/>
      <c r="I184" s="51"/>
      <c r="J184" s="51"/>
      <c r="K184" s="51"/>
      <c r="L184" s="51"/>
      <c r="M184" s="51"/>
      <c r="AP184" s="51"/>
      <c r="AQ184" s="51"/>
      <c r="AR184" s="51"/>
      <c r="AS184" s="51"/>
    </row>
    <row r="185" spans="2:45" x14ac:dyDescent="0.25">
      <c r="B185" s="51"/>
      <c r="C185" s="164"/>
      <c r="D185" s="51"/>
      <c r="E185" s="51"/>
      <c r="G185" s="51"/>
      <c r="H185" s="51"/>
      <c r="I185" s="51"/>
      <c r="J185" s="51"/>
      <c r="K185" s="51"/>
      <c r="L185" s="51"/>
      <c r="M185" s="51"/>
      <c r="AP185" s="51"/>
      <c r="AQ185" s="51"/>
      <c r="AR185" s="51"/>
      <c r="AS185" s="51"/>
    </row>
    <row r="186" spans="2:45" x14ac:dyDescent="0.25">
      <c r="B186" s="51"/>
      <c r="C186" s="164"/>
      <c r="D186" s="51"/>
      <c r="E186" s="51"/>
      <c r="G186" s="51"/>
      <c r="H186" s="51"/>
      <c r="I186" s="51"/>
      <c r="J186" s="51"/>
      <c r="K186" s="51"/>
      <c r="L186" s="51"/>
      <c r="M186" s="51"/>
      <c r="AP186" s="51"/>
      <c r="AQ186" s="51"/>
      <c r="AR186" s="51"/>
      <c r="AS186" s="51"/>
    </row>
    <row r="187" spans="2:45" x14ac:dyDescent="0.25">
      <c r="B187" s="51"/>
      <c r="C187" s="164"/>
      <c r="D187" s="51"/>
      <c r="E187" s="51"/>
      <c r="G187" s="51"/>
      <c r="H187" s="51"/>
      <c r="I187" s="51"/>
      <c r="J187" s="51"/>
      <c r="K187" s="51"/>
      <c r="L187" s="51"/>
      <c r="M187" s="51"/>
      <c r="AP187" s="51"/>
      <c r="AQ187" s="51"/>
      <c r="AR187" s="51"/>
      <c r="AS187" s="51"/>
    </row>
    <row r="188" spans="2:45" x14ac:dyDescent="0.25">
      <c r="B188" s="51"/>
      <c r="C188" s="164"/>
      <c r="D188" s="51"/>
      <c r="E188" s="51"/>
      <c r="G188" s="51"/>
      <c r="H188" s="51"/>
      <c r="I188" s="51"/>
      <c r="J188" s="51"/>
      <c r="K188" s="51"/>
      <c r="L188" s="51"/>
      <c r="M188" s="51"/>
      <c r="AP188" s="51"/>
      <c r="AQ188" s="51"/>
      <c r="AR188" s="51"/>
      <c r="AS188" s="51"/>
    </row>
    <row r="189" spans="2:45" x14ac:dyDescent="0.25">
      <c r="B189" s="51"/>
      <c r="C189" s="164"/>
      <c r="D189" s="51"/>
      <c r="E189" s="51"/>
      <c r="G189" s="51"/>
      <c r="H189" s="51"/>
      <c r="I189" s="51"/>
      <c r="J189" s="51"/>
      <c r="K189" s="51"/>
      <c r="L189" s="51"/>
      <c r="M189" s="51"/>
      <c r="AP189" s="51"/>
      <c r="AQ189" s="51"/>
      <c r="AR189" s="51"/>
      <c r="AS189" s="51"/>
    </row>
    <row r="190" spans="2:45" x14ac:dyDescent="0.25">
      <c r="B190" s="51"/>
      <c r="C190" s="164"/>
      <c r="D190" s="51"/>
      <c r="E190" s="51"/>
      <c r="G190" s="51"/>
      <c r="H190" s="51"/>
      <c r="I190" s="51"/>
      <c r="J190" s="51"/>
      <c r="K190" s="51"/>
      <c r="L190" s="51"/>
      <c r="M190" s="51"/>
      <c r="AP190" s="51"/>
      <c r="AQ190" s="51"/>
      <c r="AR190" s="51"/>
      <c r="AS190" s="51"/>
    </row>
    <row r="191" spans="2:45" x14ac:dyDescent="0.25">
      <c r="B191" s="51"/>
      <c r="C191" s="164"/>
      <c r="D191" s="51"/>
      <c r="E191" s="51"/>
      <c r="G191" s="51"/>
      <c r="H191" s="51"/>
      <c r="I191" s="51"/>
      <c r="J191" s="51"/>
      <c r="K191" s="51"/>
      <c r="L191" s="51"/>
      <c r="M191" s="51"/>
      <c r="AP191" s="51"/>
      <c r="AQ191" s="51"/>
      <c r="AR191" s="51"/>
      <c r="AS191" s="51"/>
    </row>
    <row r="192" spans="2:45" x14ac:dyDescent="0.25">
      <c r="G192" s="51"/>
      <c r="H192" s="51"/>
      <c r="I192" s="51"/>
      <c r="J192" s="51"/>
      <c r="K192" s="51"/>
      <c r="L192" s="51"/>
      <c r="M192" s="51"/>
      <c r="AP192" s="51"/>
      <c r="AQ192" s="51"/>
      <c r="AR192" s="51"/>
      <c r="AS192" s="51"/>
    </row>
    <row r="193" spans="42:45" x14ac:dyDescent="0.25">
      <c r="AP193" s="51"/>
      <c r="AQ193" s="51"/>
      <c r="AR193" s="51"/>
      <c r="AS193" s="51"/>
    </row>
    <row r="194" spans="42:45" x14ac:dyDescent="0.25">
      <c r="AP194" s="51"/>
      <c r="AQ194" s="51"/>
      <c r="AR194" s="51"/>
      <c r="AS194" s="51"/>
    </row>
    <row r="195" spans="42:45" x14ac:dyDescent="0.25">
      <c r="AP195" s="51"/>
      <c r="AQ195" s="51"/>
      <c r="AR195" s="51"/>
      <c r="AS195" s="51"/>
    </row>
    <row r="196" spans="42:45" x14ac:dyDescent="0.25">
      <c r="AP196" s="51"/>
      <c r="AQ196" s="51"/>
      <c r="AR196" s="51"/>
      <c r="AS196" s="51"/>
    </row>
    <row r="197" spans="42:45" x14ac:dyDescent="0.25">
      <c r="AP197" s="51"/>
      <c r="AQ197" s="51"/>
      <c r="AR197" s="51"/>
      <c r="AS197" s="51"/>
    </row>
    <row r="198" spans="42:45" x14ac:dyDescent="0.25">
      <c r="AP198" s="51"/>
      <c r="AQ198" s="51"/>
      <c r="AR198" s="51"/>
      <c r="AS198" s="51"/>
    </row>
    <row r="199" spans="42:45" x14ac:dyDescent="0.25">
      <c r="AP199" s="51"/>
      <c r="AQ199" s="51"/>
      <c r="AR199" s="51"/>
      <c r="AS199" s="51"/>
    </row>
    <row r="200" spans="42:45" x14ac:dyDescent="0.25">
      <c r="AP200" s="51"/>
      <c r="AQ200" s="51"/>
      <c r="AR200" s="51"/>
      <c r="AS200" s="51"/>
    </row>
    <row r="201" spans="42:45" x14ac:dyDescent="0.25">
      <c r="AP201" s="51"/>
      <c r="AQ201" s="51"/>
      <c r="AR201" s="51"/>
      <c r="AS201" s="51"/>
    </row>
    <row r="202" spans="42:45" x14ac:dyDescent="0.25">
      <c r="AP202" s="51"/>
      <c r="AQ202" s="51"/>
      <c r="AR202" s="51"/>
      <c r="AS202" s="51"/>
    </row>
  </sheetData>
  <mergeCells count="20">
    <mergeCell ref="B2:M2"/>
    <mergeCell ref="B11:C11"/>
    <mergeCell ref="B13:C13"/>
    <mergeCell ref="B12:C12"/>
    <mergeCell ref="B9:C9"/>
    <mergeCell ref="B10:C10"/>
    <mergeCell ref="G3:M3"/>
    <mergeCell ref="B4:C4"/>
    <mergeCell ref="B5:C5"/>
    <mergeCell ref="B3:C3"/>
    <mergeCell ref="B8:C8"/>
    <mergeCell ref="B7:C7"/>
    <mergeCell ref="B6:E6"/>
    <mergeCell ref="G9:M9"/>
    <mergeCell ref="K8:L8"/>
    <mergeCell ref="B16:C16"/>
    <mergeCell ref="B15:C15"/>
    <mergeCell ref="B14:C14"/>
    <mergeCell ref="B17:C17"/>
    <mergeCell ref="G14:K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>
    <tabColor theme="7"/>
  </sheetPr>
  <dimension ref="A1:AG54"/>
  <sheetViews>
    <sheetView zoomScale="80" zoomScaleNormal="80" workbookViewId="0">
      <selection activeCell="J18" sqref="J18"/>
    </sheetView>
  </sheetViews>
  <sheetFormatPr defaultRowHeight="15" x14ac:dyDescent="0.25"/>
  <cols>
    <col min="1" max="1" width="30.140625" style="2" customWidth="1"/>
    <col min="2" max="2" width="16.42578125" style="2" customWidth="1"/>
    <col min="3" max="3" width="53.85546875" style="2" customWidth="1"/>
    <col min="4" max="4" width="6.42578125" style="2" customWidth="1"/>
    <col min="5" max="5" width="7.5703125" style="2" customWidth="1"/>
    <col min="6" max="6" width="13.85546875" style="2" customWidth="1"/>
    <col min="7" max="7" width="16.5703125" style="2" customWidth="1"/>
    <col min="8" max="8" width="14.140625" style="2" customWidth="1"/>
    <col min="9" max="9" width="13.85546875" style="2" customWidth="1"/>
    <col min="10" max="10" width="16" style="2" customWidth="1"/>
    <col min="11" max="11" width="19" style="2" bestFit="1" customWidth="1"/>
    <col min="12" max="12" width="11.85546875" style="2" customWidth="1"/>
    <col min="13" max="13" width="14.42578125" style="2" customWidth="1"/>
    <col min="14" max="14" width="10.28515625" style="2" bestFit="1" customWidth="1"/>
    <col min="15" max="15" width="11.85546875" style="2" bestFit="1" customWidth="1"/>
    <col min="16" max="16384" width="9.140625" style="2"/>
  </cols>
  <sheetData>
    <row r="1" spans="1:33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" customHeight="1" thickTop="1" x14ac:dyDescent="0.25">
      <c r="A2" s="3"/>
      <c r="B2" s="606" t="s">
        <v>233</v>
      </c>
      <c r="C2" s="607"/>
      <c r="D2" s="607"/>
      <c r="E2" s="607"/>
      <c r="F2" s="607"/>
      <c r="G2" s="607"/>
      <c r="H2" s="607"/>
      <c r="I2" s="607"/>
      <c r="J2" s="608"/>
      <c r="K2" s="166"/>
      <c r="L2" s="166"/>
      <c r="M2" s="167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33.75" x14ac:dyDescent="0.25">
      <c r="A3" s="3"/>
      <c r="B3" s="12"/>
      <c r="C3" s="13" t="s">
        <v>162</v>
      </c>
      <c r="D3" s="13" t="s">
        <v>105</v>
      </c>
      <c r="E3" s="13" t="s">
        <v>4</v>
      </c>
      <c r="F3" s="13" t="s">
        <v>172</v>
      </c>
      <c r="G3" s="13" t="s">
        <v>173</v>
      </c>
      <c r="H3" s="13" t="s">
        <v>174</v>
      </c>
      <c r="I3" s="13" t="s">
        <v>175</v>
      </c>
      <c r="J3" s="15" t="s">
        <v>176</v>
      </c>
      <c r="K3" s="4"/>
      <c r="L3" s="4"/>
      <c r="M3" s="5"/>
      <c r="N3" s="4"/>
      <c r="O3" s="4"/>
      <c r="P3" s="4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/>
      <c r="B4" s="612" t="s">
        <v>178</v>
      </c>
      <c r="C4" s="168" t="str">
        <f>ΔΕΔΟΜΕΝΑ!F5</f>
        <v>Φωτιστικά σώματα τύπου σφαίρας ή φανάρι επί χαμηλού ιστού 70W</v>
      </c>
      <c r="D4" s="169">
        <v>70</v>
      </c>
      <c r="E4" s="169">
        <f>ΔΕΔΟΜΕΝΑ!H5</f>
        <v>500</v>
      </c>
      <c r="F4" s="419">
        <f>ΔΕΔΟΜΕΝΑ!G5</f>
        <v>82.352941176470594</v>
      </c>
      <c r="G4" s="169">
        <f t="shared" ref="G4:G9" si="0">F4*E4</f>
        <v>41176.470588235294</v>
      </c>
      <c r="H4" s="615">
        <f>((G4+G5+G6+G7+G8+G9+G10)/1000)*'ΠΑΡΑΔΟΧΕΣ '!M8</f>
        <v>9266.9500000000007</v>
      </c>
      <c r="I4" s="615">
        <f>H4*'ΠΑΡΑΔΟΧΕΣ '!E3</f>
        <v>3382436.7500000005</v>
      </c>
      <c r="J4" s="609">
        <f>I4*'ΠΑΡΑΔΟΧΕΣ '!D3</f>
        <v>40589241.000000007</v>
      </c>
      <c r="K4" s="4"/>
      <c r="L4" s="4"/>
      <c r="M4" s="5"/>
      <c r="N4" s="4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/>
      <c r="B5" s="613"/>
      <c r="C5" s="509" t="str">
        <f>ΔΕΔΟΜΕΝΑ!F6</f>
        <v>Φωτιστικά σώματα τύπου σφαίρας ή φανάρι επί χαμηλού ιστού 125W</v>
      </c>
      <c r="D5" s="170">
        <v>125</v>
      </c>
      <c r="E5" s="170">
        <f>ΔΕΔΟΜΕΝΑ!H6</f>
        <v>109</v>
      </c>
      <c r="F5" s="418">
        <f>ΔΕΔΟΜΕΝΑ!G6</f>
        <v>147.05882352941177</v>
      </c>
      <c r="G5" s="170">
        <f t="shared" si="0"/>
        <v>16029.411764705883</v>
      </c>
      <c r="H5" s="616"/>
      <c r="I5" s="616"/>
      <c r="J5" s="610"/>
      <c r="K5" s="4"/>
      <c r="L5" s="4"/>
      <c r="M5" s="5"/>
      <c r="N5" s="4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/>
      <c r="B6" s="613"/>
      <c r="C6" s="509" t="str">
        <f>ΔΕΔΟΜΕΝΑ!F7</f>
        <v>Φωτιστικά σώματα τύπου σφαίρας ή φανάρι επί χαμηλού ιστού 250W</v>
      </c>
      <c r="D6" s="170">
        <v>250</v>
      </c>
      <c r="E6" s="170">
        <f>ΔΕΔΟΜΕΝΑ!H7</f>
        <v>294</v>
      </c>
      <c r="F6" s="418">
        <f>ΔΕΔΟΜΕΝΑ!G7</f>
        <v>294.11764705882354</v>
      </c>
      <c r="G6" s="170">
        <f t="shared" si="0"/>
        <v>86470.588235294126</v>
      </c>
      <c r="H6" s="616"/>
      <c r="I6" s="616"/>
      <c r="J6" s="610"/>
      <c r="K6" s="4"/>
      <c r="L6" s="4"/>
      <c r="M6" s="5"/>
      <c r="N6" s="4"/>
      <c r="O6" s="4"/>
      <c r="P6" s="4"/>
      <c r="Q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/>
      <c r="B7" s="613"/>
      <c r="C7" s="509" t="str">
        <f>ΔΕΔΟΜΕΝΑ!F8</f>
        <v>Φωτιστικά σώματα οδοφωτισμού επί ιστού ΔΕΗ ή ποδηλατόδρομου 125W</v>
      </c>
      <c r="D7" s="170">
        <v>125</v>
      </c>
      <c r="E7" s="170">
        <f>ΔΕΔΟΜΕΝΑ!H8</f>
        <v>3284</v>
      </c>
      <c r="F7" s="418">
        <f>ΔΕΔΟΜΕΝΑ!G8</f>
        <v>147.05882352941177</v>
      </c>
      <c r="G7" s="170">
        <f t="shared" si="0"/>
        <v>482941.17647058825</v>
      </c>
      <c r="H7" s="616"/>
      <c r="I7" s="616"/>
      <c r="J7" s="610"/>
      <c r="K7" s="4"/>
      <c r="L7" s="4"/>
      <c r="M7" s="5"/>
      <c r="N7" s="4"/>
      <c r="O7" s="4"/>
      <c r="P7" s="4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/>
      <c r="B8" s="613"/>
      <c r="C8" s="509" t="str">
        <f>ΔΕΔΟΜΕΝΑ!F9</f>
        <v>Φωτιστικά σώματα οδοφωτισμού επί ψήλου ιστού 250W</v>
      </c>
      <c r="D8" s="170">
        <v>250</v>
      </c>
      <c r="E8" s="170">
        <f>ΔΕΔΟΜΕΝΑ!H9</f>
        <v>10</v>
      </c>
      <c r="F8" s="418">
        <f>ΔΕΔΟΜΕΝΑ!G9</f>
        <v>294.11764705882354</v>
      </c>
      <c r="G8" s="170">
        <f t="shared" si="0"/>
        <v>2941.1764705882351</v>
      </c>
      <c r="H8" s="616"/>
      <c r="I8" s="616"/>
      <c r="J8" s="610"/>
      <c r="K8" s="4"/>
      <c r="L8" s="4"/>
      <c r="M8" s="5"/>
      <c r="N8" s="4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/>
      <c r="B9" s="613"/>
      <c r="C9" s="509" t="str">
        <f>ΔΕΔΟΜΕΝΑ!F10</f>
        <v>Φωτιστικά σώματα οδοφωτισμού επί ψήλου ιστού 400W</v>
      </c>
      <c r="D9" s="170">
        <v>400</v>
      </c>
      <c r="E9" s="170">
        <f>ΔΕΔΟΜΕΝΑ!H10</f>
        <v>317</v>
      </c>
      <c r="F9" s="418">
        <f>ΔΕΔΟΜΕΝΑ!G10</f>
        <v>470.58823529411768</v>
      </c>
      <c r="G9" s="170">
        <f t="shared" si="0"/>
        <v>149176.4705882353</v>
      </c>
      <c r="H9" s="616"/>
      <c r="I9" s="616"/>
      <c r="J9" s="610"/>
      <c r="K9" s="4"/>
      <c r="L9" s="4"/>
      <c r="M9" s="5"/>
      <c r="N9" s="4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/>
      <c r="B10" s="614"/>
      <c r="C10" s="406"/>
      <c r="D10" s="171"/>
      <c r="E10" s="171"/>
      <c r="F10" s="171"/>
      <c r="G10" s="171"/>
      <c r="H10" s="617"/>
      <c r="I10" s="617"/>
      <c r="J10" s="611"/>
      <c r="K10" s="4"/>
      <c r="L10" s="4"/>
      <c r="M10" s="5"/>
      <c r="N10" s="4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/>
      <c r="B11" s="612" t="s">
        <v>177</v>
      </c>
      <c r="C11" s="168" t="str">
        <f>ΔΕΔΟΜΕΝΑ!C24</f>
        <v>Λαμπτήρας LED ≤ 30W</v>
      </c>
      <c r="D11" s="169">
        <f>ΔΕΔΟΜΕΝΑ!D24</f>
        <v>27</v>
      </c>
      <c r="E11" s="169">
        <f>ΔΕΔΟΜΕΝΑ!H5</f>
        <v>500</v>
      </c>
      <c r="F11" s="169">
        <f>D11</f>
        <v>27</v>
      </c>
      <c r="G11" s="169">
        <f>E11*F11</f>
        <v>13500</v>
      </c>
      <c r="H11" s="615">
        <f>(G11+G12+G13+G15+G14+G16+G17)/1000*'ΠΑΡΑΔΟΧΕΣ '!M8</f>
        <v>2513.8036000000002</v>
      </c>
      <c r="I11" s="615">
        <f>H11*'ΠΑΡΑΔΟΧΕΣ '!E3</f>
        <v>917538.31400000001</v>
      </c>
      <c r="J11" s="609">
        <f>I11*'ΠΑΡΑΔΟΧΕΣ '!D3</f>
        <v>11010459.767999999</v>
      </c>
      <c r="K11" s="4"/>
      <c r="L11" s="4"/>
      <c r="M11" s="5"/>
      <c r="N11" s="4"/>
      <c r="O11" s="4"/>
      <c r="P11" s="4"/>
      <c r="Q11" s="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" customHeight="1" x14ac:dyDescent="0.25">
      <c r="A12" s="3"/>
      <c r="B12" s="613"/>
      <c r="C12" s="509" t="str">
        <f>ΔΕΔΟΜΕΝΑ!C25</f>
        <v>Λαμπτήρας LED ≤ 55W</v>
      </c>
      <c r="D12" s="170">
        <f>ΔΕΔΟΜΕΝΑ!J6</f>
        <v>36</v>
      </c>
      <c r="E12" s="170">
        <f>ΔΕΔΟΜΕΝΑ!H6</f>
        <v>109</v>
      </c>
      <c r="F12" s="170">
        <f t="shared" ref="F12:F16" si="1">D12</f>
        <v>36</v>
      </c>
      <c r="G12" s="170">
        <f t="shared" ref="G12:G16" si="2">E12*F12</f>
        <v>3924</v>
      </c>
      <c r="H12" s="616"/>
      <c r="I12" s="616"/>
      <c r="J12" s="610"/>
      <c r="K12" s="4"/>
      <c r="L12" s="4"/>
      <c r="M12" s="5"/>
      <c r="N12" s="4"/>
      <c r="O12" s="4"/>
      <c r="P12" s="4"/>
      <c r="Q12" s="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3"/>
      <c r="B13" s="613"/>
      <c r="C13" s="509" t="str">
        <f>ΔΕΔΟΜΕΝΑ!C26</f>
        <v>Λαμπτήρας LED ≤ 110W</v>
      </c>
      <c r="D13" s="170">
        <f>ΔΕΔΟΜΕΝΑ!J7</f>
        <v>80</v>
      </c>
      <c r="E13" s="170">
        <f>ΔΕΔΟΜΕΝΑ!H7</f>
        <v>294</v>
      </c>
      <c r="F13" s="170">
        <f t="shared" si="1"/>
        <v>80</v>
      </c>
      <c r="G13" s="170">
        <f t="shared" si="2"/>
        <v>23520</v>
      </c>
      <c r="H13" s="616"/>
      <c r="I13" s="616"/>
      <c r="J13" s="610"/>
      <c r="K13" s="4"/>
      <c r="L13" s="4"/>
      <c r="M13" s="5"/>
      <c r="N13" s="4"/>
      <c r="O13" s="4"/>
      <c r="P13" s="4"/>
      <c r="Q13" s="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/>
      <c r="B14" s="613"/>
      <c r="C14" s="509" t="str">
        <f>ΔΕΔΟΜΕΝΑ!C27</f>
        <v>Λαμπτήρας LED ≤ 55W</v>
      </c>
      <c r="D14" s="170">
        <f>ΔΕΔΟΜΕΝΑ!J8</f>
        <v>40</v>
      </c>
      <c r="E14" s="170">
        <f>ΔΕΔΟΜΕΝΑ!H8</f>
        <v>3284</v>
      </c>
      <c r="F14" s="170">
        <f t="shared" si="1"/>
        <v>40</v>
      </c>
      <c r="G14" s="170">
        <f t="shared" si="2"/>
        <v>131360</v>
      </c>
      <c r="H14" s="616"/>
      <c r="I14" s="616"/>
      <c r="J14" s="610"/>
      <c r="K14" s="4"/>
      <c r="L14" s="4"/>
      <c r="M14" s="5"/>
      <c r="N14" s="4"/>
      <c r="O14" s="4"/>
      <c r="P14" s="4"/>
      <c r="Q14" s="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/>
      <c r="B15" s="613"/>
      <c r="C15" s="509" t="str">
        <f>ΔΕΔΟΜΕΝΑ!C28</f>
        <v>Φωτιστικό Δρόμου ≤ 110W</v>
      </c>
      <c r="D15" s="170">
        <f>ΔΕΔΟΜΕΝΑ!J9</f>
        <v>90</v>
      </c>
      <c r="E15" s="170">
        <f>ΔΕΔΟΜΕΝΑ!H9</f>
        <v>10</v>
      </c>
      <c r="F15" s="170">
        <f t="shared" si="1"/>
        <v>90</v>
      </c>
      <c r="G15" s="170">
        <f t="shared" si="2"/>
        <v>900</v>
      </c>
      <c r="H15" s="616"/>
      <c r="I15" s="616"/>
      <c r="J15" s="610"/>
      <c r="K15" s="4"/>
      <c r="L15" s="4"/>
      <c r="M15" s="5"/>
      <c r="N15" s="4"/>
      <c r="O15" s="4"/>
      <c r="P15" s="4"/>
      <c r="Q15" s="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/>
      <c r="B16" s="613"/>
      <c r="C16" s="509" t="str">
        <f>ΔΕΔΟΜΕΝΑ!C29</f>
        <v>Φωτιστικό Δρόμου ≤ 180W</v>
      </c>
      <c r="D16" s="170">
        <f>ΔΕΔΟΜΕΝΑ!J10</f>
        <v>120</v>
      </c>
      <c r="E16" s="170">
        <f>ΔΕΔΟΜΕΝΑ!H10</f>
        <v>317</v>
      </c>
      <c r="F16" s="170">
        <f t="shared" si="1"/>
        <v>120</v>
      </c>
      <c r="G16" s="170">
        <f t="shared" si="2"/>
        <v>38040</v>
      </c>
      <c r="H16" s="616"/>
      <c r="I16" s="616"/>
      <c r="J16" s="610"/>
      <c r="K16" s="4"/>
      <c r="L16" s="4"/>
      <c r="M16" s="5"/>
      <c r="N16" s="4"/>
      <c r="O16" s="4"/>
      <c r="P16" s="4"/>
      <c r="Q16" s="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/>
      <c r="B17" s="614"/>
      <c r="C17" s="406"/>
      <c r="D17" s="171"/>
      <c r="E17" s="171"/>
      <c r="F17" s="171"/>
      <c r="G17" s="171"/>
      <c r="H17" s="617"/>
      <c r="I17" s="617"/>
      <c r="J17" s="611"/>
      <c r="K17" s="4"/>
      <c r="L17" s="4"/>
      <c r="M17" s="5"/>
      <c r="N17" s="4"/>
      <c r="O17" s="4"/>
      <c r="P17" s="4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/>
      <c r="B18" s="172"/>
      <c r="C18" s="4"/>
      <c r="D18" s="173"/>
      <c r="E18" s="173"/>
      <c r="F18" s="173"/>
      <c r="G18" s="604" t="s">
        <v>98</v>
      </c>
      <c r="H18" s="604"/>
      <c r="I18" s="604"/>
      <c r="J18" s="407">
        <f>I4-I11</f>
        <v>2464898.4360000007</v>
      </c>
      <c r="K18" s="4"/>
      <c r="L18" s="4"/>
      <c r="M18" s="5"/>
      <c r="N18" s="4"/>
      <c r="O18" s="4"/>
      <c r="P18" s="4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/>
      <c r="B19" s="74"/>
      <c r="C19" s="85"/>
      <c r="D19" s="85"/>
      <c r="E19" s="85"/>
      <c r="F19" s="85"/>
      <c r="G19" s="604" t="s">
        <v>99</v>
      </c>
      <c r="H19" s="604"/>
      <c r="I19" s="604"/>
      <c r="J19" s="17">
        <f>J18*'ΠΑΡΑΔΟΧΕΣ '!E9</f>
        <v>364558.47868440009</v>
      </c>
      <c r="K19" s="4"/>
      <c r="L19" s="4"/>
      <c r="M19" s="5"/>
      <c r="N19" s="4"/>
      <c r="O19" s="4"/>
      <c r="P19" s="4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/>
      <c r="B20" s="74"/>
      <c r="C20" s="4"/>
      <c r="D20" s="4"/>
      <c r="E20" s="4"/>
      <c r="F20" s="4"/>
      <c r="G20" s="605" t="s">
        <v>118</v>
      </c>
      <c r="H20" s="605"/>
      <c r="I20" s="174" t="s">
        <v>1</v>
      </c>
      <c r="J20" s="175">
        <f>J19+ΔΕΔΟΜΕΝΑ!F22-ΔΕΔΟΜΕΝΑ!J22</f>
        <v>432345.97868440009</v>
      </c>
      <c r="K20" s="4"/>
      <c r="L20" s="4"/>
      <c r="M20" s="5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4.25" customHeight="1" thickBot="1" x14ac:dyDescent="0.3">
      <c r="A21" s="3"/>
      <c r="B21" s="82"/>
      <c r="C21" s="83"/>
      <c r="D21" s="83"/>
      <c r="E21" s="83"/>
      <c r="F21" s="83"/>
      <c r="G21" s="83"/>
      <c r="H21" s="83"/>
      <c r="I21" s="176" t="s">
        <v>104</v>
      </c>
      <c r="J21" s="177">
        <f>J18*'ΠΑΡΑΔΟΧΕΣ '!E17</f>
        <v>1281747.1867200003</v>
      </c>
      <c r="K21" s="83"/>
      <c r="L21" s="83"/>
      <c r="M21" s="8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.75" thickTop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/>
      <c r="B23" s="3"/>
      <c r="C23" s="3"/>
      <c r="D23" s="3"/>
      <c r="E23" s="3" t="s">
        <v>138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3"/>
      <c r="B24" s="3"/>
      <c r="C24" s="3"/>
      <c r="D24" s="3"/>
      <c r="E24" s="3"/>
      <c r="F24" s="3"/>
      <c r="G24" s="3"/>
      <c r="H24" s="3"/>
      <c r="I24" s="3"/>
      <c r="J24" s="178" t="s">
        <v>138</v>
      </c>
      <c r="K24" s="3"/>
      <c r="L24" s="3"/>
      <c r="M24" s="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4"/>
      <c r="B25" s="3"/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4"/>
      <c r="B26" s="3"/>
      <c r="C26" s="3"/>
      <c r="D26" s="3"/>
      <c r="E26" s="3"/>
      <c r="F26" s="178" t="s">
        <v>138</v>
      </c>
      <c r="G26" s="3"/>
      <c r="H26" s="3"/>
      <c r="I26" s="3"/>
      <c r="J26" s="3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4"/>
      <c r="B27" s="3"/>
      <c r="C27" s="3"/>
      <c r="D27" s="3"/>
      <c r="E27" s="3"/>
      <c r="F27" s="3"/>
      <c r="G27" s="3"/>
      <c r="H27" s="21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4"/>
      <c r="B28" s="3"/>
      <c r="C28" s="3"/>
      <c r="D28" s="3"/>
      <c r="E28" s="3"/>
      <c r="F28" s="3"/>
      <c r="G28" s="3"/>
      <c r="H28" s="17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</sheetData>
  <mergeCells count="12">
    <mergeCell ref="G18:I18"/>
    <mergeCell ref="G19:I19"/>
    <mergeCell ref="G20:H20"/>
    <mergeCell ref="B2:J2"/>
    <mergeCell ref="J4:J10"/>
    <mergeCell ref="B11:B17"/>
    <mergeCell ref="H11:H17"/>
    <mergeCell ref="I11:I17"/>
    <mergeCell ref="J11:J17"/>
    <mergeCell ref="B4:B10"/>
    <mergeCell ref="H4:H10"/>
    <mergeCell ref="I4:I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>
    <tabColor theme="7"/>
  </sheetPr>
  <dimension ref="A1:AD215"/>
  <sheetViews>
    <sheetView zoomScale="94" zoomScaleNormal="94" workbookViewId="0">
      <selection activeCell="G16" sqref="G16:G18"/>
    </sheetView>
  </sheetViews>
  <sheetFormatPr defaultRowHeight="15" x14ac:dyDescent="0.25"/>
  <cols>
    <col min="1" max="1" width="31" style="51" customWidth="1"/>
    <col min="2" max="2" width="49.42578125" style="26" customWidth="1"/>
    <col min="3" max="3" width="9" style="26" bestFit="1" customWidth="1"/>
    <col min="4" max="4" width="15.42578125" style="26" bestFit="1" customWidth="1"/>
    <col min="5" max="5" width="18.42578125" style="26" bestFit="1" customWidth="1"/>
    <col min="6" max="7" width="9.140625" style="51"/>
    <col min="8" max="8" width="13.5703125" style="51" bestFit="1" customWidth="1"/>
    <col min="9" max="9" width="9.140625" style="51"/>
    <col min="10" max="16384" width="9.140625" style="26"/>
  </cols>
  <sheetData>
    <row r="1" spans="1:3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 thickTop="1" x14ac:dyDescent="0.25">
      <c r="A2" s="3"/>
      <c r="B2" s="618" t="s">
        <v>219</v>
      </c>
      <c r="C2" s="619"/>
      <c r="D2" s="619"/>
      <c r="E2" s="62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3"/>
      <c r="B3" s="621"/>
      <c r="C3" s="622"/>
      <c r="D3" s="622"/>
      <c r="E3" s="62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3"/>
      <c r="B4" s="27"/>
      <c r="C4" s="28" t="s">
        <v>12</v>
      </c>
      <c r="D4" s="28" t="s">
        <v>11</v>
      </c>
      <c r="E4" s="29" t="s">
        <v>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/>
      <c r="B5" s="30" t="str">
        <f>ΔΕΔΟΜΕΝΑ!C24</f>
        <v>Λαμπτήρας LED ≤ 30W</v>
      </c>
      <c r="C5" s="31">
        <f>'ΒΑΣΙΚΟ ΣΕΝΑΡΙΟ'!E11</f>
        <v>500</v>
      </c>
      <c r="D5" s="32">
        <f>ΔΕΔΟΜΕΝΑ!E24</f>
        <v>90</v>
      </c>
      <c r="E5" s="33">
        <f>C5*D5</f>
        <v>45000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3"/>
      <c r="B6" s="30" t="str">
        <f>ΔΕΔΟΜΕΝΑ!C25</f>
        <v>Λαμπτήρας LED ≤ 55W</v>
      </c>
      <c r="C6" s="31">
        <f>'ΒΑΣΙΚΟ ΣΕΝΑΡΙΟ'!E12</f>
        <v>109</v>
      </c>
      <c r="D6" s="32">
        <f>ΔΕΔΟΜΕΝΑ!E25</f>
        <v>120</v>
      </c>
      <c r="E6" s="33">
        <f t="shared" ref="E6:E10" si="0">C6*D6</f>
        <v>13080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0" t="str">
        <f>ΔΕΔΟΜΕΝΑ!C26</f>
        <v>Λαμπτήρας LED ≤ 110W</v>
      </c>
      <c r="C7" s="31">
        <f>'ΒΑΣΙΚΟ ΣΕΝΑΡΙΟ'!E13</f>
        <v>294</v>
      </c>
      <c r="D7" s="32">
        <f>ΔΕΔΟΜΕΝΑ!E26</f>
        <v>150</v>
      </c>
      <c r="E7" s="33">
        <f t="shared" si="0"/>
        <v>44100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3"/>
      <c r="B8" s="30" t="str">
        <f>ΔΕΔΟΜΕΝΑ!C27</f>
        <v>Λαμπτήρας LED ≤ 55W</v>
      </c>
      <c r="C8" s="31">
        <f>'ΒΑΣΙΚΟ ΣΕΝΑΡΙΟ'!E14</f>
        <v>3284</v>
      </c>
      <c r="D8" s="32">
        <f>ΔΕΔΟΜΕΝΑ!E27</f>
        <v>320</v>
      </c>
      <c r="E8" s="33">
        <f t="shared" si="0"/>
        <v>1050880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3"/>
      <c r="B9" s="30" t="str">
        <f>ΔΕΔΟΜΕΝΑ!C28</f>
        <v>Φωτιστικό Δρόμου ≤ 110W</v>
      </c>
      <c r="C9" s="31">
        <f>'ΒΑΣΙΚΟ ΣΕΝΑΡΙΟ'!E15</f>
        <v>10</v>
      </c>
      <c r="D9" s="32">
        <f>ΔΕΔΟΜΕΝΑ!E28</f>
        <v>550</v>
      </c>
      <c r="E9" s="33">
        <f t="shared" si="0"/>
        <v>5500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3"/>
      <c r="B10" s="30" t="str">
        <f>ΔΕΔΟΜΕΝΑ!C29</f>
        <v>Φωτιστικό Δρόμου ≤ 180W</v>
      </c>
      <c r="C10" s="31">
        <f>'ΒΑΣΙΚΟ ΣΕΝΑΡΙΟ'!E16</f>
        <v>317</v>
      </c>
      <c r="D10" s="32">
        <f>ΔΕΔΟΜΕΝΑ!E29</f>
        <v>625</v>
      </c>
      <c r="E10" s="33">
        <f t="shared" si="0"/>
        <v>198125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0"/>
      <c r="C11" s="31"/>
      <c r="D11" s="32"/>
      <c r="E11" s="3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3"/>
      <c r="B12" s="34" t="s">
        <v>96</v>
      </c>
      <c r="C12" s="31">
        <f>SUM(C5:C11)</f>
        <v>4514</v>
      </c>
      <c r="D12" s="32"/>
      <c r="E12" s="35">
        <f>SUM(E5:E11)</f>
        <v>1356685</v>
      </c>
      <c r="F12" s="3"/>
      <c r="G12" s="3"/>
      <c r="H12" s="429" t="s">
        <v>138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3"/>
      <c r="B13" s="34" t="str">
        <f>ΔΕΔΟΜΕΝΑ!F24</f>
        <v>Σύστημα Τηλεδιαχείρισης &amp; Ελέγχου (Εγκατάσταση - Εξοπλισμός)</v>
      </c>
      <c r="C13" s="31" t="s">
        <v>75</v>
      </c>
      <c r="D13" s="32"/>
      <c r="E13" s="33">
        <f>ΔΕΔΟΜΕΝΑ!G24</f>
        <v>120000</v>
      </c>
      <c r="F13" s="3"/>
      <c r="G13" s="3" t="s">
        <v>138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3"/>
      <c r="B14" s="34" t="str">
        <f>ΔΕΔΟΜΕΝΑ!F25</f>
        <v>Smart Cities (Εγκατάσταση - Εξοπλισμός)</v>
      </c>
      <c r="C14" s="31" t="s">
        <v>75</v>
      </c>
      <c r="D14" s="32"/>
      <c r="E14" s="33">
        <f>ΔΕΔΟΜΕΝΑ!G25</f>
        <v>185150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4" t="s">
        <v>73</v>
      </c>
      <c r="C15" s="31" t="s">
        <v>75</v>
      </c>
      <c r="D15" s="32"/>
      <c r="E15" s="33">
        <f>ΔΕΔΟΜΕΝΑ!G26</f>
        <v>30000</v>
      </c>
      <c r="F15" s="3"/>
      <c r="G15" s="3" t="s">
        <v>138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4" customHeight="1" x14ac:dyDescent="0.25">
      <c r="A16" s="3"/>
      <c r="B16" s="36" t="s">
        <v>220</v>
      </c>
      <c r="C16" s="31"/>
      <c r="D16" s="32"/>
      <c r="E16" s="35">
        <f>SUM(E12:E15)</f>
        <v>1691835</v>
      </c>
      <c r="F16" s="3"/>
      <c r="G16" s="3"/>
      <c r="H16" s="3" t="s">
        <v>138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3"/>
      <c r="B17" s="34" t="s">
        <v>229</v>
      </c>
      <c r="C17" s="37"/>
      <c r="D17" s="38"/>
      <c r="E17" s="39">
        <f>E20*'ΠΑΡΑΔΟΧΕΣ '!E5</f>
        <v>406040.39999999997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3"/>
      <c r="B18" s="36" t="s">
        <v>220</v>
      </c>
      <c r="C18" s="37"/>
      <c r="D18" s="38"/>
      <c r="E18" s="39">
        <f>E16</f>
        <v>1691835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3"/>
      <c r="B19" s="40"/>
      <c r="C19" s="41"/>
      <c r="D19" s="42"/>
      <c r="E19" s="4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3"/>
      <c r="B20" s="44" t="s">
        <v>179</v>
      </c>
      <c r="C20" s="31"/>
      <c r="D20" s="32"/>
      <c r="E20" s="45">
        <f>(E18+E19)</f>
        <v>1691835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thickBot="1" x14ac:dyDescent="0.3">
      <c r="A21" s="3"/>
      <c r="B21" s="46" t="s">
        <v>78</v>
      </c>
      <c r="C21" s="47"/>
      <c r="D21" s="48"/>
      <c r="E21" s="49">
        <f>E20+E17</f>
        <v>2097875.4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thickTop="1" x14ac:dyDescent="0.25">
      <c r="A22" s="3"/>
      <c r="B22" s="50"/>
      <c r="C22" s="50"/>
      <c r="D22" s="50"/>
      <c r="E22" s="5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26"/>
      <c r="B140" s="51"/>
      <c r="C140" s="51"/>
      <c r="D140" s="51"/>
      <c r="E140" s="51"/>
      <c r="F140" s="26"/>
      <c r="G140" s="26"/>
      <c r="H140" s="26"/>
      <c r="I140" s="26"/>
    </row>
    <row r="141" spans="1:30" x14ac:dyDescent="0.25">
      <c r="A141" s="26"/>
      <c r="B141" s="51"/>
      <c r="C141" s="51"/>
      <c r="D141" s="51"/>
      <c r="E141" s="51"/>
      <c r="F141" s="26"/>
      <c r="G141" s="26"/>
      <c r="H141" s="26"/>
      <c r="I141" s="26"/>
    </row>
    <row r="142" spans="1:30" x14ac:dyDescent="0.25">
      <c r="A142" s="26"/>
      <c r="B142" s="51"/>
      <c r="C142" s="51"/>
      <c r="D142" s="51"/>
      <c r="E142" s="51"/>
      <c r="F142" s="26"/>
      <c r="G142" s="26"/>
      <c r="H142" s="26"/>
      <c r="I142" s="26"/>
    </row>
    <row r="143" spans="1:30" x14ac:dyDescent="0.25">
      <c r="A143" s="26"/>
      <c r="B143" s="51"/>
      <c r="C143" s="51"/>
      <c r="D143" s="51"/>
      <c r="E143" s="51"/>
      <c r="F143" s="26"/>
      <c r="G143" s="26"/>
      <c r="H143" s="26"/>
      <c r="I143" s="26"/>
    </row>
    <row r="144" spans="1:30" x14ac:dyDescent="0.25">
      <c r="A144" s="26"/>
      <c r="B144" s="51"/>
      <c r="C144" s="51"/>
      <c r="D144" s="51"/>
      <c r="E144" s="51"/>
      <c r="F144" s="26"/>
      <c r="G144" s="26"/>
      <c r="H144" s="26"/>
      <c r="I144" s="26"/>
    </row>
    <row r="145" spans="1:9" x14ac:dyDescent="0.25">
      <c r="A145" s="26"/>
      <c r="B145" s="51"/>
      <c r="C145" s="51"/>
      <c r="D145" s="51"/>
      <c r="E145" s="51"/>
      <c r="F145" s="26"/>
      <c r="G145" s="26"/>
      <c r="H145" s="26"/>
      <c r="I145" s="26"/>
    </row>
    <row r="146" spans="1:9" x14ac:dyDescent="0.25">
      <c r="A146" s="26"/>
      <c r="B146" s="51"/>
      <c r="C146" s="51"/>
      <c r="D146" s="51"/>
      <c r="E146" s="51"/>
      <c r="F146" s="26"/>
      <c r="G146" s="26"/>
      <c r="H146" s="26"/>
      <c r="I146" s="26"/>
    </row>
    <row r="147" spans="1:9" x14ac:dyDescent="0.25">
      <c r="A147" s="26"/>
      <c r="B147" s="51"/>
      <c r="C147" s="51"/>
      <c r="D147" s="51"/>
      <c r="E147" s="51"/>
      <c r="F147" s="26"/>
      <c r="G147" s="26"/>
      <c r="H147" s="26"/>
      <c r="I147" s="26"/>
    </row>
    <row r="148" spans="1:9" x14ac:dyDescent="0.25">
      <c r="A148" s="26"/>
      <c r="B148" s="51"/>
      <c r="C148" s="51"/>
      <c r="D148" s="51"/>
      <c r="E148" s="51"/>
      <c r="F148" s="26"/>
      <c r="G148" s="26"/>
      <c r="H148" s="26"/>
      <c r="I148" s="26"/>
    </row>
    <row r="149" spans="1:9" x14ac:dyDescent="0.25">
      <c r="A149" s="26"/>
      <c r="B149" s="51"/>
      <c r="C149" s="51"/>
      <c r="D149" s="51"/>
      <c r="E149" s="51"/>
      <c r="F149" s="26"/>
      <c r="G149" s="26"/>
      <c r="H149" s="26"/>
      <c r="I149" s="26"/>
    </row>
    <row r="150" spans="1:9" x14ac:dyDescent="0.25">
      <c r="A150" s="26"/>
      <c r="B150" s="51"/>
      <c r="C150" s="51"/>
      <c r="D150" s="51"/>
      <c r="E150" s="51"/>
      <c r="F150" s="26"/>
      <c r="G150" s="26"/>
      <c r="H150" s="26"/>
      <c r="I150" s="26"/>
    </row>
    <row r="151" spans="1:9" x14ac:dyDescent="0.25">
      <c r="A151" s="26"/>
      <c r="B151" s="51"/>
      <c r="C151" s="51"/>
      <c r="D151" s="51"/>
      <c r="E151" s="51"/>
      <c r="F151" s="26"/>
      <c r="G151" s="26"/>
      <c r="H151" s="26"/>
      <c r="I151" s="26"/>
    </row>
    <row r="152" spans="1:9" x14ac:dyDescent="0.25">
      <c r="A152" s="26"/>
      <c r="B152" s="51"/>
      <c r="C152" s="51"/>
      <c r="D152" s="51"/>
      <c r="E152" s="51"/>
      <c r="F152" s="26"/>
      <c r="G152" s="26"/>
      <c r="H152" s="26"/>
      <c r="I152" s="26"/>
    </row>
    <row r="153" spans="1:9" x14ac:dyDescent="0.25">
      <c r="A153" s="26"/>
      <c r="B153" s="51"/>
      <c r="C153" s="51"/>
      <c r="D153" s="51"/>
      <c r="E153" s="51"/>
      <c r="F153" s="26"/>
      <c r="G153" s="26"/>
      <c r="H153" s="26"/>
      <c r="I153" s="26"/>
    </row>
    <row r="154" spans="1:9" x14ac:dyDescent="0.25">
      <c r="A154" s="26"/>
      <c r="B154" s="51"/>
      <c r="C154" s="51"/>
      <c r="D154" s="51"/>
      <c r="E154" s="51"/>
      <c r="F154" s="26"/>
      <c r="G154" s="26"/>
      <c r="H154" s="26"/>
      <c r="I154" s="26"/>
    </row>
    <row r="155" spans="1:9" x14ac:dyDescent="0.25">
      <c r="A155" s="26"/>
      <c r="B155" s="51"/>
      <c r="C155" s="51"/>
      <c r="D155" s="51"/>
      <c r="E155" s="51"/>
      <c r="F155" s="26"/>
      <c r="G155" s="26"/>
      <c r="H155" s="26"/>
      <c r="I155" s="26"/>
    </row>
    <row r="156" spans="1:9" x14ac:dyDescent="0.25">
      <c r="A156" s="26"/>
      <c r="B156" s="51"/>
      <c r="C156" s="51"/>
      <c r="D156" s="51"/>
      <c r="E156" s="51"/>
      <c r="F156" s="26"/>
      <c r="G156" s="26"/>
      <c r="H156" s="26"/>
      <c r="I156" s="26"/>
    </row>
    <row r="157" spans="1:9" x14ac:dyDescent="0.25">
      <c r="A157" s="26"/>
      <c r="B157" s="51"/>
      <c r="C157" s="51"/>
      <c r="D157" s="51"/>
      <c r="E157" s="51"/>
      <c r="F157" s="26"/>
      <c r="G157" s="26"/>
      <c r="H157" s="26"/>
      <c r="I157" s="26"/>
    </row>
    <row r="158" spans="1:9" x14ac:dyDescent="0.25">
      <c r="A158" s="26"/>
      <c r="B158" s="51"/>
      <c r="C158" s="51"/>
      <c r="D158" s="51"/>
      <c r="E158" s="51"/>
      <c r="F158" s="26"/>
      <c r="G158" s="26"/>
      <c r="H158" s="26"/>
      <c r="I158" s="26"/>
    </row>
    <row r="159" spans="1:9" x14ac:dyDescent="0.25">
      <c r="A159" s="26"/>
      <c r="B159" s="51"/>
      <c r="C159" s="51"/>
      <c r="D159" s="51"/>
      <c r="E159" s="51"/>
      <c r="F159" s="26"/>
      <c r="G159" s="26"/>
      <c r="H159" s="26"/>
      <c r="I159" s="26"/>
    </row>
    <row r="160" spans="1:9" x14ac:dyDescent="0.25">
      <c r="A160" s="26"/>
      <c r="B160" s="51"/>
      <c r="C160" s="51"/>
      <c r="D160" s="51"/>
      <c r="E160" s="51"/>
      <c r="F160" s="26"/>
      <c r="G160" s="26"/>
      <c r="H160" s="26"/>
      <c r="I160" s="26"/>
    </row>
    <row r="161" spans="1:9" x14ac:dyDescent="0.25">
      <c r="A161" s="26"/>
      <c r="B161" s="51"/>
      <c r="C161" s="51"/>
      <c r="D161" s="51"/>
      <c r="E161" s="51"/>
      <c r="F161" s="26"/>
      <c r="G161" s="26"/>
      <c r="H161" s="26"/>
      <c r="I161" s="26"/>
    </row>
    <row r="162" spans="1:9" x14ac:dyDescent="0.25">
      <c r="A162" s="26"/>
      <c r="B162" s="51"/>
      <c r="C162" s="51"/>
      <c r="D162" s="51"/>
      <c r="E162" s="51"/>
      <c r="F162" s="26"/>
      <c r="G162" s="26"/>
      <c r="H162" s="26"/>
      <c r="I162" s="26"/>
    </row>
    <row r="163" spans="1:9" x14ac:dyDescent="0.25">
      <c r="A163" s="26"/>
      <c r="B163" s="51"/>
      <c r="C163" s="51"/>
      <c r="D163" s="51"/>
      <c r="E163" s="51"/>
      <c r="F163" s="26"/>
      <c r="G163" s="26"/>
      <c r="H163" s="26"/>
      <c r="I163" s="26"/>
    </row>
    <row r="164" spans="1:9" x14ac:dyDescent="0.25">
      <c r="A164" s="26"/>
      <c r="B164" s="51"/>
      <c r="C164" s="51"/>
      <c r="D164" s="51"/>
      <c r="E164" s="51"/>
      <c r="F164" s="26"/>
      <c r="G164" s="26"/>
      <c r="H164" s="26"/>
      <c r="I164" s="26"/>
    </row>
    <row r="165" spans="1:9" x14ac:dyDescent="0.25">
      <c r="A165" s="26"/>
      <c r="B165" s="51"/>
      <c r="C165" s="51"/>
      <c r="D165" s="51"/>
      <c r="E165" s="51"/>
      <c r="F165" s="26"/>
      <c r="G165" s="26"/>
      <c r="H165" s="26"/>
      <c r="I165" s="26"/>
    </row>
    <row r="166" spans="1:9" x14ac:dyDescent="0.25">
      <c r="A166" s="26"/>
      <c r="B166" s="51"/>
      <c r="C166" s="51"/>
      <c r="D166" s="51"/>
      <c r="E166" s="51"/>
      <c r="F166" s="26"/>
      <c r="G166" s="26"/>
      <c r="H166" s="26"/>
      <c r="I166" s="26"/>
    </row>
    <row r="167" spans="1:9" x14ac:dyDescent="0.25">
      <c r="A167" s="26"/>
      <c r="B167" s="51"/>
      <c r="C167" s="51"/>
      <c r="D167" s="51"/>
      <c r="E167" s="51"/>
      <c r="F167" s="26"/>
      <c r="G167" s="26"/>
      <c r="H167" s="26"/>
      <c r="I167" s="26"/>
    </row>
    <row r="168" spans="1:9" x14ac:dyDescent="0.25">
      <c r="A168" s="26"/>
      <c r="B168" s="51"/>
      <c r="C168" s="51"/>
      <c r="D168" s="51"/>
      <c r="E168" s="51"/>
      <c r="F168" s="26"/>
      <c r="G168" s="26"/>
      <c r="H168" s="26"/>
      <c r="I168" s="26"/>
    </row>
    <row r="169" spans="1:9" x14ac:dyDescent="0.25">
      <c r="A169" s="26"/>
      <c r="B169" s="51"/>
      <c r="C169" s="51"/>
      <c r="D169" s="51"/>
      <c r="E169" s="51"/>
      <c r="F169" s="26"/>
      <c r="G169" s="26"/>
      <c r="H169" s="26"/>
      <c r="I169" s="26"/>
    </row>
    <row r="170" spans="1:9" x14ac:dyDescent="0.25">
      <c r="A170" s="26"/>
      <c r="B170" s="51"/>
      <c r="C170" s="51"/>
      <c r="D170" s="51"/>
      <c r="E170" s="51"/>
      <c r="F170" s="26"/>
      <c r="G170" s="26"/>
      <c r="H170" s="26"/>
      <c r="I170" s="26"/>
    </row>
    <row r="171" spans="1:9" x14ac:dyDescent="0.25">
      <c r="A171" s="26"/>
      <c r="B171" s="51"/>
      <c r="C171" s="51"/>
      <c r="D171" s="51"/>
      <c r="E171" s="51"/>
      <c r="F171" s="26"/>
      <c r="G171" s="26"/>
      <c r="H171" s="26"/>
      <c r="I171" s="26"/>
    </row>
    <row r="172" spans="1:9" x14ac:dyDescent="0.25">
      <c r="A172" s="26"/>
      <c r="B172" s="51"/>
      <c r="C172" s="51"/>
      <c r="D172" s="51"/>
      <c r="E172" s="51"/>
      <c r="F172" s="26"/>
      <c r="G172" s="26"/>
      <c r="H172" s="26"/>
      <c r="I172" s="26"/>
    </row>
    <row r="173" spans="1:9" x14ac:dyDescent="0.25">
      <c r="A173" s="26"/>
      <c r="B173" s="51"/>
      <c r="C173" s="51"/>
      <c r="D173" s="51"/>
      <c r="E173" s="51"/>
      <c r="F173" s="26"/>
      <c r="G173" s="26"/>
      <c r="H173" s="26"/>
      <c r="I173" s="26"/>
    </row>
    <row r="174" spans="1:9" x14ac:dyDescent="0.25">
      <c r="A174" s="26"/>
      <c r="B174" s="51"/>
      <c r="C174" s="51"/>
      <c r="D174" s="51"/>
      <c r="E174" s="51"/>
      <c r="F174" s="26"/>
      <c r="G174" s="26"/>
      <c r="H174" s="26"/>
      <c r="I174" s="26"/>
    </row>
    <row r="175" spans="1:9" x14ac:dyDescent="0.25">
      <c r="A175" s="26"/>
      <c r="B175" s="51"/>
      <c r="C175" s="51"/>
      <c r="D175" s="51"/>
      <c r="E175" s="51"/>
      <c r="F175" s="26"/>
      <c r="G175" s="26"/>
      <c r="H175" s="26"/>
      <c r="I175" s="26"/>
    </row>
    <row r="176" spans="1:9" x14ac:dyDescent="0.25">
      <c r="A176" s="26"/>
      <c r="B176" s="51"/>
      <c r="C176" s="51"/>
      <c r="D176" s="51"/>
      <c r="E176" s="51"/>
      <c r="F176" s="26"/>
      <c r="G176" s="26"/>
      <c r="H176" s="26"/>
      <c r="I176" s="26"/>
    </row>
    <row r="177" spans="1:9" x14ac:dyDescent="0.25">
      <c r="A177" s="26"/>
      <c r="B177" s="51"/>
      <c r="C177" s="51"/>
      <c r="D177" s="51"/>
      <c r="E177" s="51"/>
      <c r="F177" s="26"/>
      <c r="G177" s="26"/>
      <c r="H177" s="26"/>
      <c r="I177" s="26"/>
    </row>
    <row r="178" spans="1:9" x14ac:dyDescent="0.25">
      <c r="A178" s="26"/>
      <c r="B178" s="51"/>
      <c r="C178" s="51"/>
      <c r="D178" s="51"/>
      <c r="E178" s="51"/>
      <c r="F178" s="26"/>
      <c r="G178" s="26"/>
      <c r="H178" s="26"/>
      <c r="I178" s="26"/>
    </row>
    <row r="179" spans="1:9" x14ac:dyDescent="0.25">
      <c r="A179" s="26"/>
      <c r="B179" s="51"/>
      <c r="C179" s="51"/>
      <c r="D179" s="51"/>
      <c r="E179" s="51"/>
      <c r="F179" s="26"/>
      <c r="G179" s="26"/>
      <c r="H179" s="26"/>
      <c r="I179" s="26"/>
    </row>
    <row r="180" spans="1:9" x14ac:dyDescent="0.25">
      <c r="A180" s="26"/>
      <c r="B180" s="51"/>
      <c r="C180" s="51"/>
      <c r="D180" s="51"/>
      <c r="E180" s="51"/>
      <c r="F180" s="26"/>
      <c r="G180" s="26"/>
      <c r="H180" s="26"/>
      <c r="I180" s="26"/>
    </row>
    <row r="181" spans="1:9" x14ac:dyDescent="0.25">
      <c r="A181" s="26"/>
      <c r="B181" s="51"/>
      <c r="C181" s="51"/>
      <c r="D181" s="51"/>
      <c r="E181" s="51"/>
      <c r="F181" s="26"/>
      <c r="G181" s="26"/>
      <c r="H181" s="26"/>
      <c r="I181" s="26"/>
    </row>
    <row r="182" spans="1:9" x14ac:dyDescent="0.25">
      <c r="A182" s="26"/>
      <c r="B182" s="51"/>
      <c r="C182" s="51"/>
      <c r="D182" s="51"/>
      <c r="E182" s="51"/>
      <c r="F182" s="26"/>
      <c r="G182" s="26"/>
      <c r="H182" s="26"/>
      <c r="I182" s="26"/>
    </row>
    <row r="183" spans="1:9" x14ac:dyDescent="0.25">
      <c r="A183" s="26"/>
      <c r="B183" s="51"/>
      <c r="C183" s="51"/>
      <c r="D183" s="51"/>
      <c r="E183" s="51"/>
      <c r="F183" s="26"/>
      <c r="G183" s="26"/>
      <c r="H183" s="26"/>
      <c r="I183" s="26"/>
    </row>
    <row r="184" spans="1:9" x14ac:dyDescent="0.25">
      <c r="A184" s="26"/>
      <c r="B184" s="51"/>
      <c r="C184" s="51"/>
      <c r="D184" s="51"/>
      <c r="E184" s="51"/>
      <c r="F184" s="26"/>
      <c r="G184" s="26"/>
      <c r="H184" s="26"/>
      <c r="I184" s="26"/>
    </row>
    <row r="185" spans="1:9" x14ac:dyDescent="0.25">
      <c r="A185" s="26"/>
      <c r="B185" s="51"/>
      <c r="C185" s="51"/>
      <c r="D185" s="51"/>
      <c r="E185" s="51"/>
      <c r="F185" s="26"/>
      <c r="G185" s="26"/>
      <c r="H185" s="26"/>
      <c r="I185" s="26"/>
    </row>
    <row r="186" spans="1:9" x14ac:dyDescent="0.25">
      <c r="A186" s="26"/>
      <c r="B186" s="51"/>
      <c r="C186" s="51"/>
      <c r="D186" s="51"/>
      <c r="E186" s="51"/>
      <c r="F186" s="26"/>
      <c r="G186" s="26"/>
      <c r="H186" s="26"/>
      <c r="I186" s="26"/>
    </row>
    <row r="187" spans="1:9" x14ac:dyDescent="0.25">
      <c r="A187" s="26"/>
      <c r="B187" s="51"/>
      <c r="C187" s="51"/>
      <c r="D187" s="51"/>
      <c r="E187" s="51"/>
      <c r="F187" s="26"/>
      <c r="G187" s="26"/>
      <c r="H187" s="26"/>
      <c r="I187" s="26"/>
    </row>
    <row r="188" spans="1:9" x14ac:dyDescent="0.25">
      <c r="A188" s="26"/>
      <c r="B188" s="51"/>
      <c r="C188" s="51"/>
      <c r="D188" s="51"/>
      <c r="E188" s="51"/>
      <c r="F188" s="26"/>
      <c r="G188" s="26"/>
      <c r="H188" s="26"/>
      <c r="I188" s="26"/>
    </row>
    <row r="189" spans="1:9" x14ac:dyDescent="0.25">
      <c r="A189" s="26"/>
      <c r="B189" s="51"/>
      <c r="C189" s="51"/>
      <c r="D189" s="51"/>
      <c r="E189" s="51"/>
      <c r="F189" s="26"/>
      <c r="G189" s="26"/>
      <c r="H189" s="26"/>
      <c r="I189" s="26"/>
    </row>
    <row r="190" spans="1:9" x14ac:dyDescent="0.25">
      <c r="A190" s="26"/>
      <c r="B190" s="51"/>
      <c r="C190" s="51"/>
      <c r="D190" s="51"/>
      <c r="E190" s="51"/>
      <c r="F190" s="26"/>
      <c r="G190" s="26"/>
      <c r="H190" s="26"/>
      <c r="I190" s="26"/>
    </row>
    <row r="191" spans="1:9" x14ac:dyDescent="0.25">
      <c r="A191" s="26"/>
      <c r="B191" s="51"/>
      <c r="C191" s="51"/>
      <c r="D191" s="51"/>
      <c r="E191" s="51"/>
      <c r="F191" s="26"/>
      <c r="G191" s="26"/>
      <c r="H191" s="26"/>
      <c r="I191" s="26"/>
    </row>
    <row r="192" spans="1:9" x14ac:dyDescent="0.25">
      <c r="A192" s="26"/>
      <c r="B192" s="51"/>
      <c r="C192" s="51"/>
      <c r="D192" s="51"/>
      <c r="E192" s="51"/>
      <c r="F192" s="26"/>
      <c r="G192" s="26"/>
      <c r="H192" s="26"/>
      <c r="I192" s="26"/>
    </row>
    <row r="193" spans="1:9" x14ac:dyDescent="0.25">
      <c r="A193" s="26"/>
      <c r="B193" s="51"/>
      <c r="C193" s="51"/>
      <c r="D193" s="51"/>
      <c r="E193" s="51"/>
      <c r="F193" s="26"/>
      <c r="G193" s="26"/>
      <c r="H193" s="26"/>
      <c r="I193" s="26"/>
    </row>
    <row r="194" spans="1:9" x14ac:dyDescent="0.25">
      <c r="A194" s="26"/>
      <c r="B194" s="51"/>
      <c r="C194" s="51"/>
      <c r="D194" s="51"/>
      <c r="E194" s="51"/>
      <c r="F194" s="26"/>
      <c r="G194" s="26"/>
      <c r="H194" s="26"/>
      <c r="I194" s="26"/>
    </row>
    <row r="195" spans="1:9" x14ac:dyDescent="0.25">
      <c r="A195" s="26"/>
      <c r="B195" s="51"/>
      <c r="C195" s="51"/>
      <c r="D195" s="51"/>
      <c r="E195" s="51"/>
      <c r="F195" s="26"/>
      <c r="G195" s="26"/>
      <c r="H195" s="26"/>
      <c r="I195" s="26"/>
    </row>
    <row r="196" spans="1:9" x14ac:dyDescent="0.25">
      <c r="A196" s="26"/>
      <c r="B196" s="51"/>
      <c r="C196" s="51"/>
      <c r="D196" s="51"/>
      <c r="E196" s="51"/>
      <c r="F196" s="26"/>
      <c r="G196" s="26"/>
      <c r="H196" s="26"/>
      <c r="I196" s="26"/>
    </row>
    <row r="197" spans="1:9" x14ac:dyDescent="0.25">
      <c r="A197" s="26"/>
      <c r="B197" s="51"/>
      <c r="C197" s="51"/>
      <c r="D197" s="51"/>
      <c r="E197" s="51"/>
      <c r="F197" s="26"/>
      <c r="G197" s="26"/>
      <c r="H197" s="26"/>
      <c r="I197" s="26"/>
    </row>
    <row r="198" spans="1:9" x14ac:dyDescent="0.25">
      <c r="A198" s="26"/>
      <c r="B198" s="51"/>
      <c r="C198" s="51"/>
      <c r="D198" s="51"/>
      <c r="E198" s="51"/>
      <c r="F198" s="26"/>
      <c r="G198" s="26"/>
      <c r="H198" s="26"/>
      <c r="I198" s="26"/>
    </row>
    <row r="199" spans="1:9" x14ac:dyDescent="0.25">
      <c r="A199" s="26"/>
      <c r="B199" s="51"/>
      <c r="C199" s="51"/>
      <c r="D199" s="51"/>
      <c r="E199" s="51"/>
      <c r="F199" s="26"/>
      <c r="G199" s="26"/>
      <c r="H199" s="26"/>
      <c r="I199" s="26"/>
    </row>
    <row r="200" spans="1:9" x14ac:dyDescent="0.25">
      <c r="A200" s="26"/>
      <c r="B200" s="51"/>
      <c r="C200" s="51"/>
      <c r="D200" s="51"/>
      <c r="E200" s="51"/>
      <c r="F200" s="26"/>
      <c r="G200" s="26"/>
      <c r="H200" s="26"/>
      <c r="I200" s="26"/>
    </row>
    <row r="201" spans="1:9" x14ac:dyDescent="0.25">
      <c r="A201" s="26"/>
      <c r="B201" s="51"/>
      <c r="C201" s="51"/>
      <c r="D201" s="51"/>
      <c r="E201" s="51"/>
      <c r="F201" s="26"/>
      <c r="G201" s="26"/>
      <c r="H201" s="26"/>
      <c r="I201" s="26"/>
    </row>
    <row r="202" spans="1:9" x14ac:dyDescent="0.25">
      <c r="A202" s="26"/>
      <c r="B202" s="51"/>
      <c r="C202" s="51"/>
      <c r="D202" s="51"/>
      <c r="E202" s="51"/>
      <c r="F202" s="26"/>
      <c r="G202" s="26"/>
      <c r="H202" s="26"/>
      <c r="I202" s="26"/>
    </row>
    <row r="203" spans="1:9" x14ac:dyDescent="0.25">
      <c r="A203" s="26"/>
      <c r="B203" s="51"/>
      <c r="C203" s="51"/>
      <c r="D203" s="51"/>
      <c r="E203" s="51"/>
      <c r="F203" s="26"/>
      <c r="G203" s="26"/>
      <c r="H203" s="26"/>
      <c r="I203" s="26"/>
    </row>
    <row r="204" spans="1:9" x14ac:dyDescent="0.25">
      <c r="A204" s="26"/>
      <c r="B204" s="51"/>
      <c r="C204" s="51"/>
      <c r="D204" s="51"/>
      <c r="E204" s="51"/>
      <c r="F204" s="26"/>
      <c r="G204" s="26"/>
      <c r="H204" s="26"/>
      <c r="I204" s="26"/>
    </row>
    <row r="205" spans="1:9" x14ac:dyDescent="0.25">
      <c r="A205" s="26"/>
      <c r="B205" s="51"/>
      <c r="C205" s="51"/>
      <c r="D205" s="51"/>
      <c r="E205" s="51"/>
      <c r="F205" s="26"/>
      <c r="G205" s="26"/>
      <c r="H205" s="26"/>
      <c r="I205" s="26"/>
    </row>
    <row r="206" spans="1:9" x14ac:dyDescent="0.25">
      <c r="A206" s="26"/>
      <c r="B206" s="51"/>
      <c r="C206" s="51"/>
      <c r="D206" s="51"/>
      <c r="E206" s="51"/>
      <c r="F206" s="26"/>
      <c r="G206" s="26"/>
      <c r="H206" s="26"/>
      <c r="I206" s="26"/>
    </row>
    <row r="207" spans="1:9" x14ac:dyDescent="0.25">
      <c r="A207" s="26"/>
      <c r="B207" s="51"/>
      <c r="C207" s="51"/>
      <c r="D207" s="51"/>
      <c r="E207" s="51"/>
      <c r="F207" s="26"/>
      <c r="G207" s="26"/>
      <c r="H207" s="26"/>
      <c r="I207" s="26"/>
    </row>
    <row r="208" spans="1:9" x14ac:dyDescent="0.25">
      <c r="A208" s="26"/>
      <c r="B208" s="51"/>
      <c r="C208" s="51"/>
      <c r="D208" s="51"/>
      <c r="E208" s="51"/>
      <c r="F208" s="26"/>
      <c r="G208" s="26"/>
      <c r="H208" s="26"/>
      <c r="I208" s="26"/>
    </row>
    <row r="209" spans="1:9" x14ac:dyDescent="0.25">
      <c r="A209" s="26"/>
      <c r="B209" s="51"/>
      <c r="C209" s="51"/>
      <c r="D209" s="51"/>
      <c r="E209" s="51"/>
      <c r="F209" s="26"/>
      <c r="G209" s="26"/>
      <c r="H209" s="26"/>
      <c r="I209" s="26"/>
    </row>
    <row r="210" spans="1:9" x14ac:dyDescent="0.25">
      <c r="A210" s="26"/>
      <c r="B210" s="51"/>
      <c r="C210" s="51"/>
      <c r="D210" s="51"/>
      <c r="E210" s="51"/>
      <c r="F210" s="26"/>
      <c r="G210" s="26"/>
      <c r="H210" s="26"/>
      <c r="I210" s="26"/>
    </row>
    <row r="211" spans="1:9" x14ac:dyDescent="0.25">
      <c r="A211" s="26"/>
      <c r="B211" s="51"/>
      <c r="C211" s="51"/>
      <c r="D211" s="51"/>
      <c r="E211" s="51"/>
      <c r="F211" s="26"/>
      <c r="G211" s="26"/>
      <c r="H211" s="26"/>
      <c r="I211" s="26"/>
    </row>
    <row r="212" spans="1:9" x14ac:dyDescent="0.25">
      <c r="A212" s="26"/>
      <c r="B212" s="51"/>
      <c r="C212" s="51"/>
      <c r="D212" s="51"/>
      <c r="E212" s="51"/>
      <c r="F212" s="26"/>
      <c r="G212" s="26"/>
      <c r="H212" s="26"/>
      <c r="I212" s="26"/>
    </row>
    <row r="213" spans="1:9" x14ac:dyDescent="0.25">
      <c r="A213" s="26"/>
      <c r="B213" s="51"/>
      <c r="C213" s="51"/>
      <c r="D213" s="51"/>
      <c r="E213" s="51"/>
      <c r="F213" s="26"/>
      <c r="G213" s="26"/>
      <c r="H213" s="26"/>
      <c r="I213" s="26"/>
    </row>
    <row r="214" spans="1:9" x14ac:dyDescent="0.25">
      <c r="B214" s="51"/>
      <c r="C214" s="51"/>
      <c r="D214" s="51"/>
      <c r="E214" s="51"/>
    </row>
    <row r="215" spans="1:9" x14ac:dyDescent="0.25">
      <c r="B215" s="51"/>
      <c r="C215" s="51"/>
      <c r="D215" s="51"/>
      <c r="E215" s="51"/>
    </row>
  </sheetData>
  <mergeCells count="1">
    <mergeCell ref="B2:E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>
    <tabColor theme="7"/>
  </sheetPr>
  <dimension ref="A1:Z55"/>
  <sheetViews>
    <sheetView topLeftCell="A2" zoomScale="78" zoomScaleNormal="78" workbookViewId="0">
      <selection activeCell="M28" sqref="M28"/>
    </sheetView>
  </sheetViews>
  <sheetFormatPr defaultRowHeight="15" x14ac:dyDescent="0.25"/>
  <cols>
    <col min="1" max="1" width="29.7109375" style="26" customWidth="1"/>
    <col min="2" max="2" width="20.140625" style="245" customWidth="1"/>
    <col min="3" max="3" width="29" style="26" customWidth="1"/>
    <col min="4" max="4" width="6.5703125" style="26" customWidth="1"/>
    <col min="5" max="5" width="16.28515625" style="165" bestFit="1" customWidth="1"/>
    <col min="6" max="17" width="11.140625" style="26" bestFit="1" customWidth="1"/>
    <col min="18" max="18" width="9.140625" style="26"/>
    <col min="19" max="19" width="12.5703125" style="26" bestFit="1" customWidth="1"/>
    <col min="20" max="16384" width="9.140625" style="26"/>
  </cols>
  <sheetData>
    <row r="1" spans="1:26" ht="15.75" thickBot="1" x14ac:dyDescent="0.3">
      <c r="A1" s="3"/>
      <c r="B1" s="179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15.75" x14ac:dyDescent="0.25">
      <c r="A2" s="3"/>
      <c r="B2" s="624" t="s">
        <v>146</v>
      </c>
      <c r="C2" s="625"/>
      <c r="D2" s="180"/>
      <c r="E2" s="180" t="s">
        <v>120</v>
      </c>
      <c r="F2" s="181">
        <v>1</v>
      </c>
      <c r="G2" s="181">
        <v>2</v>
      </c>
      <c r="H2" s="181">
        <v>3</v>
      </c>
      <c r="I2" s="181">
        <v>4</v>
      </c>
      <c r="J2" s="181">
        <v>5</v>
      </c>
      <c r="K2" s="181">
        <v>6</v>
      </c>
      <c r="L2" s="181">
        <v>7</v>
      </c>
      <c r="M2" s="181">
        <v>8</v>
      </c>
      <c r="N2" s="181">
        <v>9</v>
      </c>
      <c r="O2" s="181">
        <v>10</v>
      </c>
      <c r="P2" s="181">
        <v>11</v>
      </c>
      <c r="Q2" s="182">
        <v>12</v>
      </c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183"/>
      <c r="C3" s="184" t="s">
        <v>5</v>
      </c>
      <c r="D3" s="185"/>
      <c r="E3" s="185"/>
      <c r="F3" s="186">
        <f>'ΠΑΡΑΔΟΧΕΣ '!E9</f>
        <v>0.1479</v>
      </c>
      <c r="G3" s="186">
        <f>F3+F3*'ΠΑΡΑΔΟΧΕΣ '!$E$10</f>
        <v>0.1515975</v>
      </c>
      <c r="H3" s="186">
        <f>G3+G3*'ΠΑΡΑΔΟΧΕΣ '!$E$10</f>
        <v>0.1553874375</v>
      </c>
      <c r="I3" s="186">
        <f>H3+H3*'ΠΑΡΑΔΟΧΕΣ '!$E$10</f>
        <v>0.1592721234375</v>
      </c>
      <c r="J3" s="186">
        <f>I3+I3*'ΠΑΡΑΔΟΧΕΣ '!$E$10</f>
        <v>0.16325392652343751</v>
      </c>
      <c r="K3" s="186">
        <f>J3+J3*'ΠΑΡΑΔΟΧΕΣ '!$E$10</f>
        <v>0.16733527468652346</v>
      </c>
      <c r="L3" s="186">
        <f>K3+K3*'ΠΑΡΑΔΟΧΕΣ '!$E$10</f>
        <v>0.17151865655368653</v>
      </c>
      <c r="M3" s="186">
        <f>L3+L3*'ΠΑΡΑΔΟΧΕΣ '!$E$10</f>
        <v>0.17580662296752869</v>
      </c>
      <c r="N3" s="186">
        <f>M3+M3*'ΠΑΡΑΔΟΧΕΣ '!$E$10</f>
        <v>0.18020178854171692</v>
      </c>
      <c r="O3" s="186">
        <f>N3+N3*'ΠΑΡΑΔΟΧΕΣ '!$E$10</f>
        <v>0.18470683325525986</v>
      </c>
      <c r="P3" s="186">
        <f>O3+O3*'ΠΑΡΑΔΟΧΕΣ '!$E$10</f>
        <v>0.18932450408664137</v>
      </c>
      <c r="Q3" s="187">
        <f>P3+P3*'ΠΑΡΑΔΟΧΕΣ '!$E$10</f>
        <v>0.19405761668880739</v>
      </c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627" t="s">
        <v>180</v>
      </c>
      <c r="C4" s="188" t="s">
        <v>132</v>
      </c>
      <c r="D4" s="189" t="s">
        <v>1</v>
      </c>
      <c r="E4" s="190">
        <f>SUM(F4:Q4)</f>
        <v>553599.42523614469</v>
      </c>
      <c r="F4" s="191">
        <f>ΔΕΔΟΜΕΝΑ!F17+ΔΕΔΟΜΕΝΑ!F18+ΔΕΔΟΜΕΝΑ!F19</f>
        <v>42450</v>
      </c>
      <c r="G4" s="191">
        <f>F4+F4*'ΠΑΡΑΔΟΧΕΣ '!$E12</f>
        <v>43086.75</v>
      </c>
      <c r="H4" s="191">
        <f>G4+G4*'ΠΑΡΑΔΟΧΕΣ '!$E12</f>
        <v>43733.051249999997</v>
      </c>
      <c r="I4" s="191">
        <f>H4+H4*'ΠΑΡΑΔΟΧΕΣ '!$E12</f>
        <v>44389.047018749996</v>
      </c>
      <c r="J4" s="191">
        <f>I4+I4*'ΠΑΡΑΔΟΧΕΣ '!$E12</f>
        <v>45054.882724031246</v>
      </c>
      <c r="K4" s="191">
        <f>J4+J4*'ΠΑΡΑΔΟΧΕΣ '!$E12</f>
        <v>45730.705964891713</v>
      </c>
      <c r="L4" s="191">
        <f>K4+K4*'ΠΑΡΑΔΟΧΕΣ '!$E12</f>
        <v>46416.666554365089</v>
      </c>
      <c r="M4" s="191">
        <f>L4+L4*'ΠΑΡΑΔΟΧΕΣ '!$E12</f>
        <v>47112.916552680566</v>
      </c>
      <c r="N4" s="191">
        <f>M4+M4*'ΠΑΡΑΔΟΧΕΣ '!$E12</f>
        <v>47819.610300970773</v>
      </c>
      <c r="O4" s="191">
        <f>N4+N4*'ΠΑΡΑΔΟΧΕΣ '!$E12</f>
        <v>48536.904455485332</v>
      </c>
      <c r="P4" s="191">
        <f>O4+O4*'ΠΑΡΑΔΟΧΕΣ '!$E12</f>
        <v>49264.958022317609</v>
      </c>
      <c r="Q4" s="192">
        <f>P4+P4*'ΠΑΡΑΔΟΧΕΣ '!$E12</f>
        <v>50003.932392652372</v>
      </c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627"/>
      <c r="C5" s="188" t="s">
        <v>181</v>
      </c>
      <c r="D5" s="189" t="s">
        <v>1</v>
      </c>
      <c r="E5" s="193">
        <f>SUM(F5:Q5)</f>
        <v>6901396.3735310482</v>
      </c>
      <c r="F5" s="194">
        <f>'ΒΑΣΙΚΟ ΣΕΝΑΡΙΟ'!$I4*'ΧΡΗΜ. ΑΝΑΛΥΣΗ'!F3</f>
        <v>500262.39532500011</v>
      </c>
      <c r="G5" s="194">
        <f>'ΒΑΣΙΚΟ ΣΕΝΑΡΙΟ'!$I4*'ΧΡΗΜ. ΑΝΑΛΥΣΗ'!G3</f>
        <v>512768.95520812506</v>
      </c>
      <c r="H5" s="194">
        <f>'ΒΑΣΙΚΟ ΣΕΝΑΡΙΟ'!$I4*'ΧΡΗΜ. ΑΝΑΛΥΣΗ'!H3</f>
        <v>525588.17908832815</v>
      </c>
      <c r="I5" s="194">
        <f>'ΒΑΣΙΚΟ ΣΕΝΑΡΙΟ'!$I4*'ΧΡΗΜ. ΑΝΑΛΥΣΗ'!I3</f>
        <v>538727.88356553635</v>
      </c>
      <c r="J5" s="194">
        <f>'ΒΑΣΙΚΟ ΣΕΝΑΡΙΟ'!$I4*'ΧΡΗΜ. ΑΝΑΛΥΣΗ'!J3</f>
        <v>552196.08065467479</v>
      </c>
      <c r="K5" s="194">
        <f>'ΒΑΣΙΚΟ ΣΕΝΑΡΙΟ'!$I4*'ΧΡΗΜ. ΑΝΑΛΥΣΗ'!K3</f>
        <v>566000.98267104174</v>
      </c>
      <c r="L5" s="194">
        <f>'ΒΑΣΙΚΟ ΣΕΝΑΡΙΟ'!$I4*'ΧΡΗΜ. ΑΝΑΛΥΣΗ'!L3</f>
        <v>580151.00723781774</v>
      </c>
      <c r="M5" s="194">
        <f>'ΒΑΣΙΚΟ ΣΕΝΑΡΙΟ'!$I4*'ΧΡΗΜ. ΑΝΑΛΥΣΗ'!M3</f>
        <v>594654.78241876315</v>
      </c>
      <c r="N5" s="194">
        <f>'ΒΑΣΙΚΟ ΣΕΝΑΡΙΟ'!$I4*'ΧΡΗΜ. ΑΝΑΛΥΣΗ'!N3</f>
        <v>609521.15197923232</v>
      </c>
      <c r="O5" s="194">
        <f>'ΒΑΣΙΚΟ ΣΕΝΑΡΙΟ'!$I4*'ΧΡΗΜ. ΑΝΑΛΥΣΗ'!O3</f>
        <v>624759.1807787132</v>
      </c>
      <c r="P5" s="194">
        <f>'ΒΑΣΙΚΟ ΣΕΝΑΡΙΟ'!$I4*'ΧΡΗΜ. ΑΝΑΛΥΣΗ'!P3</f>
        <v>640378.160298181</v>
      </c>
      <c r="Q5" s="195">
        <f>'ΒΑΣΙΚΟ ΣΕΝΑΡΙΟ'!$I4*'ΧΡΗΜ. ΑΝΑΛΥΣΗ'!Q3</f>
        <v>656387.61430563556</v>
      </c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x14ac:dyDescent="0.25">
      <c r="A6" s="3"/>
      <c r="B6" s="627"/>
      <c r="C6" s="188" t="s">
        <v>134</v>
      </c>
      <c r="D6" s="189" t="s">
        <v>1</v>
      </c>
      <c r="E6" s="190">
        <f>SUM(F6:Q6)</f>
        <v>821596.32013844803</v>
      </c>
      <c r="F6" s="191">
        <f>ΔΕΔΟΜΕΝΑ!F20+ΔΕΔΟΜΕΝΑ!F21</f>
        <v>63000</v>
      </c>
      <c r="G6" s="191">
        <f>F6+F6*'ΠΑΡΑΔΟΧΕΣ '!$E13</f>
        <v>63945</v>
      </c>
      <c r="H6" s="191">
        <f>G6+G6*'ΠΑΡΑΔΟΧΕΣ '!$E13</f>
        <v>64904.175000000003</v>
      </c>
      <c r="I6" s="191">
        <f>H6+H6*'ΠΑΡΑΔΟΧΕΣ '!$E13</f>
        <v>65877.737625000009</v>
      </c>
      <c r="J6" s="191">
        <f>I6+I6*'ΠΑΡΑΔΟΧΕΣ '!$E13</f>
        <v>66865.903689375002</v>
      </c>
      <c r="K6" s="191">
        <f>J6+J6*'ΠΑΡΑΔΟΧΕΣ '!$E13</f>
        <v>67868.892244715622</v>
      </c>
      <c r="L6" s="191">
        <f>K6+K6*'ΠΑΡΑΔΟΧΕΣ '!$E13</f>
        <v>68886.925628386351</v>
      </c>
      <c r="M6" s="191">
        <f>L6+L6*'ΠΑΡΑΔΟΧΕΣ '!$E13</f>
        <v>69920.229512812148</v>
      </c>
      <c r="N6" s="191">
        <f>M6+M6*'ΠΑΡΑΔΟΧΕΣ '!$E13</f>
        <v>70969.032955504328</v>
      </c>
      <c r="O6" s="191">
        <f>N6+N6*'ΠΑΡΑΔΟΧΕΣ '!$E13</f>
        <v>72033.568449836894</v>
      </c>
      <c r="P6" s="191">
        <f>O6+O6*'ΠΑΡΑΔΟΧΕΣ '!$E13</f>
        <v>73114.071976584441</v>
      </c>
      <c r="Q6" s="192">
        <f>P6+P6*'ΠΑΡΑΔΟΧΕΣ '!$E13</f>
        <v>74210.783056233209</v>
      </c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x14ac:dyDescent="0.25">
      <c r="A7" s="3"/>
      <c r="B7" s="627"/>
      <c r="C7" s="188" t="s">
        <v>135</v>
      </c>
      <c r="D7" s="189" t="s">
        <v>1</v>
      </c>
      <c r="E7" s="190">
        <f>SUM(F7:Q7)</f>
        <v>8276592.1189056411</v>
      </c>
      <c r="F7" s="196">
        <f>SUM(F4:F6)</f>
        <v>605712.39532500017</v>
      </c>
      <c r="G7" s="196">
        <f t="shared" ref="G7:P7" si="0">SUM(G4:G6)</f>
        <v>619800.70520812506</v>
      </c>
      <c r="H7" s="196">
        <f t="shared" si="0"/>
        <v>634225.40533832822</v>
      </c>
      <c r="I7" s="196">
        <f t="shared" si="0"/>
        <v>648994.66820928641</v>
      </c>
      <c r="J7" s="196">
        <f t="shared" si="0"/>
        <v>664116.86706808105</v>
      </c>
      <c r="K7" s="196">
        <f t="shared" si="0"/>
        <v>679600.58088064904</v>
      </c>
      <c r="L7" s="196">
        <f t="shared" si="0"/>
        <v>695454.59942056914</v>
      </c>
      <c r="M7" s="196">
        <f t="shared" si="0"/>
        <v>711687.9284842558</v>
      </c>
      <c r="N7" s="196">
        <f t="shared" si="0"/>
        <v>728309.79523570742</v>
      </c>
      <c r="O7" s="196">
        <f t="shared" si="0"/>
        <v>745329.65368403541</v>
      </c>
      <c r="P7" s="196">
        <f t="shared" si="0"/>
        <v>762757.190297083</v>
      </c>
      <c r="Q7" s="197">
        <f t="shared" ref="Q7" si="1">SUM(Q4:Q6)</f>
        <v>780602.32975452114</v>
      </c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628" t="s">
        <v>124</v>
      </c>
      <c r="C8" s="198" t="s">
        <v>132</v>
      </c>
      <c r="D8" s="199" t="s">
        <v>1</v>
      </c>
      <c r="E8" s="200">
        <f>SUM(F8:Q8)</f>
        <v>156494.53716922819</v>
      </c>
      <c r="F8" s="201">
        <f>ΔΕΔΟΜΕΝΑ!J17</f>
        <v>12000</v>
      </c>
      <c r="G8" s="201">
        <f>F8+F8*'ΠΑΡΑΔΟΧΕΣ '!$E$12</f>
        <v>12180</v>
      </c>
      <c r="H8" s="201">
        <f>G8+G8*'ΠΑΡΑΔΟΧΕΣ '!$E$12</f>
        <v>12362.7</v>
      </c>
      <c r="I8" s="201">
        <f>H8+H8*'ΠΑΡΑΔΟΧΕΣ '!$E$12</f>
        <v>12548.140500000001</v>
      </c>
      <c r="J8" s="201">
        <f>I8+I8*'ΠΑΡΑΔΟΧΕΣ '!$E$12</f>
        <v>12736.362607500001</v>
      </c>
      <c r="K8" s="201">
        <f>J8+J8*'ΠΑΡΑΔΟΧΕΣ '!$E$12</f>
        <v>12927.408046612501</v>
      </c>
      <c r="L8" s="201">
        <f>K8+K8*'ΠΑΡΑΔΟΧΕΣ '!$E$12</f>
        <v>13121.319167311689</v>
      </c>
      <c r="M8" s="201">
        <f>L8+L8*'ΠΑΡΑΔΟΧΕΣ '!$E$12</f>
        <v>13318.138954821365</v>
      </c>
      <c r="N8" s="201">
        <f>M8+M8*'ΠΑΡΑΔΟΧΕΣ '!$E$12</f>
        <v>13517.911039143684</v>
      </c>
      <c r="O8" s="201">
        <f>N8+N8*'ΠΑΡΑΔΟΧΕΣ '!$E$12</f>
        <v>13720.679704730839</v>
      </c>
      <c r="P8" s="201">
        <f>O8+O8*'ΠΑΡΑΔΟΧΕΣ '!$E$12</f>
        <v>13926.489900301802</v>
      </c>
      <c r="Q8" s="202">
        <f>P8+P8*'ΠΑΡΑΔΟΧΕΣ '!$E$12</f>
        <v>14135.387248806328</v>
      </c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5">
      <c r="A9" s="3"/>
      <c r="B9" s="628"/>
      <c r="C9" s="198" t="s">
        <v>133</v>
      </c>
      <c r="D9" s="199" t="s">
        <v>1</v>
      </c>
      <c r="E9" s="200">
        <f t="shared" ref="E9:E11" si="2">SUM(F9:Q9)</f>
        <v>1872110.5702317692</v>
      </c>
      <c r="F9" s="201">
        <f>'ΒΑΣΙΚΟ ΣΕΝΑΡΙΟ'!$I11*'ΧΡΗΜ. ΑΝΑΛΥΣΗ'!F3</f>
        <v>135703.91664060001</v>
      </c>
      <c r="G9" s="201">
        <f>'ΒΑΣΙΚΟ ΣΕΝΑΡΙΟ'!$I11*'ΧΡΗΜ. ΑΝΑΛΥΣΗ'!G3</f>
        <v>139096.514556615</v>
      </c>
      <c r="H9" s="201">
        <f>'ΒΑΣΙΚΟ ΣΕΝΑΡΙΟ'!$I11*'ΧΡΗΜ. ΑΝΑΛΥΣΗ'!H3</f>
        <v>142573.92742053038</v>
      </c>
      <c r="I9" s="201">
        <f>'ΒΑΣΙΚΟ ΣΕΝΑΡΙΟ'!$I11*'ΧΡΗΜ. ΑΝΑΛΥΣΗ'!I3</f>
        <v>146138.27560604364</v>
      </c>
      <c r="J9" s="201">
        <f>'ΒΑΣΙΚΟ ΣΕΝΑΡΙΟ'!$I11*'ΧΡΗΜ. ΑΝΑΛΥΣΗ'!J3</f>
        <v>149791.73249619475</v>
      </c>
      <c r="K9" s="201">
        <f>'ΒΑΣΙΚΟ ΣΕΝΑΡΙΟ'!$I11*'ΧΡΗΜ. ΑΝΑΛΥΣΗ'!K3</f>
        <v>153536.5258085996</v>
      </c>
      <c r="L9" s="201">
        <f>'ΒΑΣΙΚΟ ΣΕΝΑΡΙΟ'!$I11*'ΧΡΗΜ. ΑΝΑΛΥΣΗ'!L3</f>
        <v>157374.93895381459</v>
      </c>
      <c r="M9" s="201">
        <f>'ΒΑΣΙΚΟ ΣΕΝΑΡΙΟ'!$I11*'ΧΡΗΜ. ΑΝΑΛΥΣΗ'!M3</f>
        <v>161309.31242765996</v>
      </c>
      <c r="N9" s="201">
        <f>'ΒΑΣΙΚΟ ΣΕΝΑΡΙΟ'!$I11*'ΧΡΗΜ. ΑΝΑΛΥΣΗ'!N3</f>
        <v>165342.04523835148</v>
      </c>
      <c r="O9" s="201">
        <f>'ΒΑΣΙΚΟ ΣΕΝΑΡΙΟ'!$I11*'ΧΡΗΜ. ΑΝΑΛΥΣΗ'!O3</f>
        <v>169475.59636931025</v>
      </c>
      <c r="P9" s="201">
        <f>'ΒΑΣΙΚΟ ΣΕΝΑΡΙΟ'!$I11*'ΧΡΗΜ. ΑΝΑΛΥΣΗ'!P3</f>
        <v>173712.48627854305</v>
      </c>
      <c r="Q9" s="202">
        <f>'ΒΑΣΙΚΟ ΣΕΝΑΡΙΟ'!$I11*'ΧΡΗΜ. ΑΝΑΛΥΣΗ'!Q3</f>
        <v>178055.29843550659</v>
      </c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628"/>
      <c r="C10" s="198" t="s">
        <v>134</v>
      </c>
      <c r="D10" s="199" t="s">
        <v>1</v>
      </c>
      <c r="E10" s="200">
        <f t="shared" si="2"/>
        <v>334670.08834210993</v>
      </c>
      <c r="F10" s="201">
        <f>ΔΕΔΟΜΕΝΑ!J20+ΔΕΔΟΜΕΝΑ!J21</f>
        <v>25662.5</v>
      </c>
      <c r="G10" s="201">
        <f>F10+F10*'ΠΑΡΑΔΟΧΕΣ '!$E13</f>
        <v>26047.4375</v>
      </c>
      <c r="H10" s="201">
        <f>G10+G10*'ΠΑΡΑΔΟΧΕΣ '!$E13</f>
        <v>26438.149062500001</v>
      </c>
      <c r="I10" s="201">
        <f>H10+H10*'ΠΑΡΑΔΟΧΕΣ '!$E13</f>
        <v>26834.7212984375</v>
      </c>
      <c r="J10" s="201">
        <f>I10+I10*'ΠΑΡΑΔΟΧΕΣ '!$E13</f>
        <v>27237.242117914062</v>
      </c>
      <c r="K10" s="201">
        <f>J10+J10*'ΠΑΡΑΔΟΧΕΣ '!$E13</f>
        <v>27645.800749682774</v>
      </c>
      <c r="L10" s="201">
        <f>K10+K10*'ΠΑΡΑΔΟΧΕΣ '!$E13</f>
        <v>28060.487760928016</v>
      </c>
      <c r="M10" s="201">
        <f>L10+L10*'ΠΑΡΑΔΟΧΕΣ '!$E13</f>
        <v>28481.395077341935</v>
      </c>
      <c r="N10" s="201">
        <f>M10+M10*'ΠΑΡΑΔΟΧΕΣ '!$E13</f>
        <v>28908.616003502062</v>
      </c>
      <c r="O10" s="201">
        <f>N10+N10*'ΠΑΡΑΔΟΧΕΣ '!$E13</f>
        <v>29342.245243554593</v>
      </c>
      <c r="P10" s="201">
        <f>O10+O10*'ΠΑΡΑΔΟΧΕΣ '!$E13</f>
        <v>29782.37892220791</v>
      </c>
      <c r="Q10" s="202">
        <f>P10+P10*'ΠΑΡΑΔΟΧΕΣ '!$E13</f>
        <v>30229.114606041028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628"/>
      <c r="C11" s="198" t="s">
        <v>135</v>
      </c>
      <c r="D11" s="199" t="s">
        <v>1</v>
      </c>
      <c r="E11" s="200">
        <f t="shared" si="2"/>
        <v>2363275.1957431072</v>
      </c>
      <c r="F11" s="203">
        <f>SUM(F8:F10)</f>
        <v>173366.41664060001</v>
      </c>
      <c r="G11" s="203">
        <f t="shared" ref="G11:P11" si="3">SUM(G8:G10)</f>
        <v>177323.952056615</v>
      </c>
      <c r="H11" s="203">
        <f t="shared" si="3"/>
        <v>181374.77648303041</v>
      </c>
      <c r="I11" s="203">
        <f t="shared" si="3"/>
        <v>185521.13740448115</v>
      </c>
      <c r="J11" s="203">
        <f t="shared" si="3"/>
        <v>189765.33722160879</v>
      </c>
      <c r="K11" s="203">
        <f t="shared" si="3"/>
        <v>194109.73460489488</v>
      </c>
      <c r="L11" s="203">
        <f t="shared" si="3"/>
        <v>198556.7458820543</v>
      </c>
      <c r="M11" s="203">
        <f t="shared" si="3"/>
        <v>203108.84645982325</v>
      </c>
      <c r="N11" s="203">
        <f t="shared" si="3"/>
        <v>207768.57228099724</v>
      </c>
      <c r="O11" s="203">
        <f t="shared" si="3"/>
        <v>212538.52131759567</v>
      </c>
      <c r="P11" s="203">
        <f t="shared" si="3"/>
        <v>217421.35510105276</v>
      </c>
      <c r="Q11" s="204">
        <f t="shared" ref="Q11" si="4">SUM(Q8:Q10)</f>
        <v>222419.80029035395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626" t="s">
        <v>108</v>
      </c>
      <c r="C12" s="205" t="s">
        <v>122</v>
      </c>
      <c r="D12" s="206" t="s">
        <v>1</v>
      </c>
      <c r="E12" s="207">
        <f>SUM(F12:Q12)</f>
        <v>5029285.8032992799</v>
      </c>
      <c r="F12" s="208">
        <f t="shared" ref="F12:Q12" si="5">(F5-F9)</f>
        <v>364558.47868440009</v>
      </c>
      <c r="G12" s="208">
        <f t="shared" si="5"/>
        <v>373672.44065151003</v>
      </c>
      <c r="H12" s="208">
        <f t="shared" si="5"/>
        <v>383014.2516677978</v>
      </c>
      <c r="I12" s="208">
        <f t="shared" si="5"/>
        <v>392589.60795949271</v>
      </c>
      <c r="J12" s="208">
        <f t="shared" si="5"/>
        <v>402404.34815848002</v>
      </c>
      <c r="K12" s="208">
        <f t="shared" si="5"/>
        <v>412464.45686244214</v>
      </c>
      <c r="L12" s="208">
        <f t="shared" si="5"/>
        <v>422776.06828400318</v>
      </c>
      <c r="M12" s="208">
        <f t="shared" si="5"/>
        <v>433345.46999110316</v>
      </c>
      <c r="N12" s="208">
        <f t="shared" si="5"/>
        <v>444179.10674088087</v>
      </c>
      <c r="O12" s="208">
        <f t="shared" si="5"/>
        <v>455283.58440940292</v>
      </c>
      <c r="P12" s="208">
        <f t="shared" si="5"/>
        <v>466665.67401963798</v>
      </c>
      <c r="Q12" s="209">
        <f t="shared" si="5"/>
        <v>478332.31587012898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4" x14ac:dyDescent="0.25">
      <c r="A13" s="3"/>
      <c r="B13" s="626"/>
      <c r="C13" s="205" t="s">
        <v>182</v>
      </c>
      <c r="D13" s="206" t="s">
        <v>1</v>
      </c>
      <c r="E13" s="210">
        <f t="shared" ref="E13:E14" si="6">SUM(F13:Q13)</f>
        <v>884031.11986325472</v>
      </c>
      <c r="F13" s="211">
        <f t="shared" ref="F13:Q13" si="7">F6+F4-F8-F10</f>
        <v>67787.5</v>
      </c>
      <c r="G13" s="211">
        <f t="shared" si="7"/>
        <v>68804.3125</v>
      </c>
      <c r="H13" s="211">
        <f t="shared" si="7"/>
        <v>69836.377187500009</v>
      </c>
      <c r="I13" s="211">
        <f t="shared" si="7"/>
        <v>70883.922845312482</v>
      </c>
      <c r="J13" s="211">
        <f t="shared" si="7"/>
        <v>71947.181687992183</v>
      </c>
      <c r="K13" s="211">
        <f t="shared" si="7"/>
        <v>73026.389413312048</v>
      </c>
      <c r="L13" s="211">
        <f t="shared" si="7"/>
        <v>74121.78525451172</v>
      </c>
      <c r="M13" s="211">
        <f t="shared" si="7"/>
        <v>75233.612033329409</v>
      </c>
      <c r="N13" s="211">
        <f t="shared" si="7"/>
        <v>76362.116213829358</v>
      </c>
      <c r="O13" s="211">
        <f t="shared" si="7"/>
        <v>77507.54795703679</v>
      </c>
      <c r="P13" s="211">
        <f t="shared" si="7"/>
        <v>78670.161176392343</v>
      </c>
      <c r="Q13" s="212">
        <f t="shared" si="7"/>
        <v>79850.213594038214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629" t="s">
        <v>123</v>
      </c>
      <c r="C14" s="213" t="s">
        <v>119</v>
      </c>
      <c r="D14" s="214" t="s">
        <v>1</v>
      </c>
      <c r="E14" s="215">
        <f t="shared" si="6"/>
        <v>180000</v>
      </c>
      <c r="F14" s="216">
        <v>15000</v>
      </c>
      <c r="G14" s="216">
        <v>15000</v>
      </c>
      <c r="H14" s="216">
        <v>15000</v>
      </c>
      <c r="I14" s="216">
        <v>15000</v>
      </c>
      <c r="J14" s="216">
        <v>15000</v>
      </c>
      <c r="K14" s="216">
        <v>15000</v>
      </c>
      <c r="L14" s="216">
        <v>15000</v>
      </c>
      <c r="M14" s="216">
        <v>15000</v>
      </c>
      <c r="N14" s="216">
        <v>15000</v>
      </c>
      <c r="O14" s="216">
        <v>15000</v>
      </c>
      <c r="P14" s="216">
        <v>15000</v>
      </c>
      <c r="Q14" s="217">
        <v>15000</v>
      </c>
      <c r="R14" s="3"/>
      <c r="S14" s="218" t="s">
        <v>138</v>
      </c>
      <c r="T14" s="3"/>
      <c r="U14" s="3"/>
      <c r="V14" s="3"/>
      <c r="W14" s="3"/>
      <c r="X14" s="3"/>
      <c r="Y14" s="3"/>
      <c r="Z14" s="3"/>
    </row>
    <row r="15" spans="1:26" ht="24" x14ac:dyDescent="0.25">
      <c r="A15" s="3"/>
      <c r="B15" s="629"/>
      <c r="C15" s="213" t="s">
        <v>121</v>
      </c>
      <c r="D15" s="214" t="s">
        <v>1</v>
      </c>
      <c r="E15" s="219">
        <f>SUM(F15:Q15)</f>
        <v>5029285.8032992799</v>
      </c>
      <c r="F15" s="220">
        <f>F12</f>
        <v>364558.47868440009</v>
      </c>
      <c r="G15" s="220">
        <f t="shared" ref="G15:Q15" si="8">G12</f>
        <v>373672.44065151003</v>
      </c>
      <c r="H15" s="220">
        <f t="shared" si="8"/>
        <v>383014.2516677978</v>
      </c>
      <c r="I15" s="220">
        <f t="shared" si="8"/>
        <v>392589.60795949271</v>
      </c>
      <c r="J15" s="220">
        <f t="shared" si="8"/>
        <v>402404.34815848002</v>
      </c>
      <c r="K15" s="220">
        <f t="shared" si="8"/>
        <v>412464.45686244214</v>
      </c>
      <c r="L15" s="220">
        <f t="shared" si="8"/>
        <v>422776.06828400318</v>
      </c>
      <c r="M15" s="220">
        <f t="shared" si="8"/>
        <v>433345.46999110316</v>
      </c>
      <c r="N15" s="220">
        <f t="shared" si="8"/>
        <v>444179.10674088087</v>
      </c>
      <c r="O15" s="220">
        <f t="shared" si="8"/>
        <v>455283.58440940292</v>
      </c>
      <c r="P15" s="220">
        <f t="shared" si="8"/>
        <v>466665.67401963798</v>
      </c>
      <c r="Q15" s="221">
        <f t="shared" si="8"/>
        <v>478332.31587012898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630" t="s">
        <v>125</v>
      </c>
      <c r="C16" s="222" t="s">
        <v>183</v>
      </c>
      <c r="D16" s="223" t="s">
        <v>2</v>
      </c>
      <c r="E16" s="224">
        <f>SUM(F16:Q16)</f>
        <v>44111072.807953209</v>
      </c>
      <c r="F16" s="225">
        <f>'ΒΑΣΙΚΟ ΣΕΝΑΡΙΟ'!I4</f>
        <v>3382436.7500000005</v>
      </c>
      <c r="G16" s="225">
        <f>F16+F16*'ΠΑΡΑΔΟΧΕΣ '!$E14</f>
        <v>3433173.3012500005</v>
      </c>
      <c r="H16" s="225">
        <f>G16+G16*'ΠΑΡΑΔΟΧΕΣ '!$E14</f>
        <v>3484670.9007687503</v>
      </c>
      <c r="I16" s="225">
        <f>H16+H16*'ΠΑΡΑΔΟΧΕΣ '!$E14</f>
        <v>3536940.9642802817</v>
      </c>
      <c r="J16" s="225">
        <f>I16+I16*'ΠΑΡΑΔΟΧΕΣ '!$E14</f>
        <v>3589995.078744486</v>
      </c>
      <c r="K16" s="225">
        <f>J16+J16*'ΠΑΡΑΔΟΧΕΣ '!$E14</f>
        <v>3643845.0049256533</v>
      </c>
      <c r="L16" s="225">
        <f>K16+K16*'ΠΑΡΑΔΟΧΕΣ '!$E14</f>
        <v>3698502.6799995382</v>
      </c>
      <c r="M16" s="225">
        <f>L16+L16*'ΠΑΡΑΔΟΧΕΣ '!$E14</f>
        <v>3753980.2201995314</v>
      </c>
      <c r="N16" s="225">
        <f>M16+M16*'ΠΑΡΑΔΟΧΕΣ '!$E14</f>
        <v>3810289.9235025244</v>
      </c>
      <c r="O16" s="225">
        <f>N16+N16*'ΠΑΡΑΔΟΧΕΣ '!$E14</f>
        <v>3867444.2723550624</v>
      </c>
      <c r="P16" s="225">
        <f>O16+O16*'ΠΑΡΑΔΟΧΕΣ '!$E14</f>
        <v>3925455.9364403882</v>
      </c>
      <c r="Q16" s="226">
        <f>P16+P16*'ΠΑΡΑΔΟΧΕΣ '!$E14</f>
        <v>3984337.7754869941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4" x14ac:dyDescent="0.25">
      <c r="A17" s="3"/>
      <c r="B17" s="630"/>
      <c r="C17" s="222" t="s">
        <v>184</v>
      </c>
      <c r="D17" s="223" t="s">
        <v>2</v>
      </c>
      <c r="E17" s="224">
        <f>SUM(F17:Q17)</f>
        <v>11965811.14870533</v>
      </c>
      <c r="F17" s="225">
        <f>'ΒΑΣΙΚΟ ΣΕΝΑΡΙΟ'!I11</f>
        <v>917538.31400000001</v>
      </c>
      <c r="G17" s="225">
        <f>F17+F17*'ΠΑΡΑΔΟΧΕΣ '!$E14</f>
        <v>931301.38870999997</v>
      </c>
      <c r="H17" s="225">
        <f>G17+G17*'ΠΑΡΑΔΟΧΕΣ '!$E14</f>
        <v>945270.90954064997</v>
      </c>
      <c r="I17" s="225">
        <f>H17+H17*'ΠΑΡΑΔΟΧΕΣ '!$E14</f>
        <v>959449.97318375972</v>
      </c>
      <c r="J17" s="225">
        <f>I17+I17*'ΠΑΡΑΔΟΧΕΣ '!$E14</f>
        <v>973841.72278151615</v>
      </c>
      <c r="K17" s="225">
        <f>J17+J17*'ΠΑΡΑΔΟΧΕΣ '!$E14</f>
        <v>988449.34862323885</v>
      </c>
      <c r="L17" s="225">
        <f>K17+K17*'ΠΑΡΑΔΟΧΕΣ '!$E14</f>
        <v>1003276.0888525874</v>
      </c>
      <c r="M17" s="225">
        <f>L17+L17*'ΠΑΡΑΔΟΧΕΣ '!$E14</f>
        <v>1018325.2301853762</v>
      </c>
      <c r="N17" s="225">
        <f>M17+M17*'ΠΑΡΑΔΟΧΕΣ '!$E14</f>
        <v>1033600.1086381569</v>
      </c>
      <c r="O17" s="225">
        <f>N17+N17*'ΠΑΡΑΔΟΧΕΣ '!$E14</f>
        <v>1049104.1102677293</v>
      </c>
      <c r="P17" s="225">
        <f>O17+O17*'ΠΑΡΑΔΟΧΕΣ '!$E14</f>
        <v>1064840.6719217452</v>
      </c>
      <c r="Q17" s="226">
        <f>P17+P17*'ΠΑΡΑΔΟΧΕΣ '!$E14</f>
        <v>1080813.2820005713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630"/>
      <c r="C18" s="227" t="s">
        <v>185</v>
      </c>
      <c r="D18" s="223" t="s">
        <v>3</v>
      </c>
      <c r="E18" s="224">
        <f>SUM(F18:Q18)</f>
        <v>50683622.656338237</v>
      </c>
      <c r="F18" s="225">
        <f>F16*'ΠΑΡΑΔΟΧΕΣ '!$E16</f>
        <v>3886419.8257500008</v>
      </c>
      <c r="G18" s="225">
        <f>G16*'ΠΑΡΑΔΟΧΕΣ '!$E16</f>
        <v>3944716.1231362508</v>
      </c>
      <c r="H18" s="225">
        <f>H16*'ΠΑΡΑΔΟΧΕΣ '!$E16</f>
        <v>4003886.8649832942</v>
      </c>
      <c r="I18" s="225">
        <f>I16*'ΠΑΡΑΔΟΧΕΣ '!$E16</f>
        <v>4063945.1679580435</v>
      </c>
      <c r="J18" s="225">
        <f>J16*'ΠΑΡΑΔΟΧΕΣ '!$E16</f>
        <v>4124904.3454774143</v>
      </c>
      <c r="K18" s="225">
        <f>K16*'ΠΑΡΑΔΟΧΕΣ '!$E16</f>
        <v>4186777.9106595758</v>
      </c>
      <c r="L18" s="225">
        <f>L16*'ΠΑΡΑΔΟΧΕΣ '!$E16</f>
        <v>4249579.5793194696</v>
      </c>
      <c r="M18" s="225">
        <f>M16*'ΠΑΡΑΔΟΧΕΣ '!$E16</f>
        <v>4313323.273009262</v>
      </c>
      <c r="N18" s="225">
        <f>N16*'ΠΑΡΑΔΟΧΕΣ '!$E16</f>
        <v>4378023.1221044008</v>
      </c>
      <c r="O18" s="225">
        <f>O16*'ΠΑΡΑΔΟΧΕΣ '!$E16</f>
        <v>4443693.4689359665</v>
      </c>
      <c r="P18" s="225">
        <f>P16*'ΠΑΡΑΔΟΧΕΣ '!$E16</f>
        <v>4510348.8709700061</v>
      </c>
      <c r="Q18" s="226">
        <f>Q16*'ΠΑΡΑΔΟΧΕΣ '!$E16</f>
        <v>4578004.1040345561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630"/>
      <c r="C19" s="222"/>
      <c r="D19" s="228" t="s">
        <v>8</v>
      </c>
      <c r="E19" s="224"/>
      <c r="F19" s="229">
        <f>F18/1000</f>
        <v>3886.4198257500007</v>
      </c>
      <c r="G19" s="229">
        <f t="shared" ref="G19:P19" si="9">G18/1000</f>
        <v>3944.7161231362506</v>
      </c>
      <c r="H19" s="229">
        <f t="shared" si="9"/>
        <v>4003.8868649832943</v>
      </c>
      <c r="I19" s="229">
        <f t="shared" si="9"/>
        <v>4063.9451679580434</v>
      </c>
      <c r="J19" s="229">
        <f t="shared" si="9"/>
        <v>4124.9043454774146</v>
      </c>
      <c r="K19" s="229">
        <f t="shared" si="9"/>
        <v>4186.7779106595763</v>
      </c>
      <c r="L19" s="229">
        <f t="shared" si="9"/>
        <v>4249.5795793194693</v>
      </c>
      <c r="M19" s="229">
        <f t="shared" si="9"/>
        <v>4313.3232730092623</v>
      </c>
      <c r="N19" s="229">
        <f t="shared" si="9"/>
        <v>4378.0231221044005</v>
      </c>
      <c r="O19" s="229">
        <f t="shared" si="9"/>
        <v>4443.6934689359668</v>
      </c>
      <c r="P19" s="229">
        <f t="shared" si="9"/>
        <v>4510.3488709700059</v>
      </c>
      <c r="Q19" s="230">
        <f t="shared" ref="Q19" si="10">Q18/1000</f>
        <v>4578.0041040345559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25">
      <c r="A20" s="3"/>
      <c r="B20" s="630"/>
      <c r="C20" s="227" t="s">
        <v>186</v>
      </c>
      <c r="D20" s="223" t="s">
        <v>3</v>
      </c>
      <c r="E20" s="224">
        <f>SUM(F20:Q21)</f>
        <v>13762465.726872291</v>
      </c>
      <c r="F20" s="225">
        <f>F17*'ΠΑΡΑΔΟΧΕΣ '!$E16</f>
        <v>1054251.522786</v>
      </c>
      <c r="G20" s="225">
        <f>G17*'ΠΑΡΑΔΟΧΕΣ '!$E16</f>
        <v>1070065.29562779</v>
      </c>
      <c r="H20" s="225">
        <f>H17*'ΠΑΡΑΔΟΧΕΣ '!$E16</f>
        <v>1086116.2750622069</v>
      </c>
      <c r="I20" s="225">
        <f>I17*'ΠΑΡΑΔΟΧΕΣ '!$E16</f>
        <v>1102408.0191881401</v>
      </c>
      <c r="J20" s="225">
        <f>J17*'ΠΑΡΑΔΟΧΕΣ '!$E16</f>
        <v>1118944.1394759621</v>
      </c>
      <c r="K20" s="225">
        <f>K17*'ΠΑΡΑΔΟΧΕΣ '!$E16</f>
        <v>1135728.3015681014</v>
      </c>
      <c r="L20" s="225">
        <f>L17*'ΠΑΡΑΔΟΧΕΣ '!$E16</f>
        <v>1152764.2260916228</v>
      </c>
      <c r="M20" s="225">
        <f>M17*'ΠΑΡΑΔΟΧΕΣ '!$E16</f>
        <v>1170055.6894829974</v>
      </c>
      <c r="N20" s="225">
        <f>N17*'ΠΑΡΑΔΟΧΕΣ '!$E16</f>
        <v>1187606.5248252423</v>
      </c>
      <c r="O20" s="225">
        <f>O17*'ΠΑΡΑΔΟΧΕΣ '!$E16</f>
        <v>1205420.6226976209</v>
      </c>
      <c r="P20" s="225">
        <f>P17*'ΠΑΡΑΔΟΧΕΣ '!$E16</f>
        <v>1223501.9320380853</v>
      </c>
      <c r="Q20" s="226">
        <f>Q17*'ΠΑΡΑΔΟΧΕΣ '!$E16</f>
        <v>1241854.4610186564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630"/>
      <c r="C21" s="222"/>
      <c r="D21" s="228" t="s">
        <v>8</v>
      </c>
      <c r="E21" s="224"/>
      <c r="F21" s="229">
        <f>F20/1000</f>
        <v>1054.2515227860001</v>
      </c>
      <c r="G21" s="229">
        <f t="shared" ref="G21:P21" si="11">G20/1000</f>
        <v>1070.06529562779</v>
      </c>
      <c r="H21" s="229">
        <f t="shared" si="11"/>
        <v>1086.1162750622068</v>
      </c>
      <c r="I21" s="229">
        <f t="shared" si="11"/>
        <v>1102.4080191881401</v>
      </c>
      <c r="J21" s="229">
        <f t="shared" si="11"/>
        <v>1118.9441394759622</v>
      </c>
      <c r="K21" s="229">
        <f t="shared" si="11"/>
        <v>1135.7283015681014</v>
      </c>
      <c r="L21" s="229">
        <f t="shared" si="11"/>
        <v>1152.7642260916227</v>
      </c>
      <c r="M21" s="229">
        <f t="shared" si="11"/>
        <v>1170.0556894829974</v>
      </c>
      <c r="N21" s="229">
        <f t="shared" si="11"/>
        <v>1187.6065248252423</v>
      </c>
      <c r="O21" s="229">
        <f t="shared" si="11"/>
        <v>1205.420622697621</v>
      </c>
      <c r="P21" s="229">
        <f t="shared" si="11"/>
        <v>1223.5019320380852</v>
      </c>
      <c r="Q21" s="230">
        <f t="shared" ref="Q21" si="12">Q20/1000</f>
        <v>1241.8544610186564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626" t="s">
        <v>36</v>
      </c>
      <c r="C22" s="231" t="s">
        <v>37</v>
      </c>
      <c r="D22" s="232" t="s">
        <v>2</v>
      </c>
      <c r="E22" s="233">
        <f>SUM(F22:Q22)</f>
        <v>32145261.659247879</v>
      </c>
      <c r="F22" s="234">
        <f t="shared" ref="F22:Q22" si="13">F16-F17</f>
        <v>2464898.4360000007</v>
      </c>
      <c r="G22" s="234">
        <f t="shared" si="13"/>
        <v>2501871.9125400004</v>
      </c>
      <c r="H22" s="234">
        <f t="shared" si="13"/>
        <v>2539399.9912281004</v>
      </c>
      <c r="I22" s="234">
        <f t="shared" si="13"/>
        <v>2577490.9910965217</v>
      </c>
      <c r="J22" s="234">
        <f t="shared" si="13"/>
        <v>2616153.3559629698</v>
      </c>
      <c r="K22" s="234">
        <f t="shared" si="13"/>
        <v>2655395.6563024144</v>
      </c>
      <c r="L22" s="234">
        <f t="shared" si="13"/>
        <v>2695226.5911469506</v>
      </c>
      <c r="M22" s="234">
        <f t="shared" si="13"/>
        <v>2735654.9900141554</v>
      </c>
      <c r="N22" s="234">
        <f t="shared" si="13"/>
        <v>2776689.8148643672</v>
      </c>
      <c r="O22" s="234">
        <f t="shared" si="13"/>
        <v>2818340.1620873334</v>
      </c>
      <c r="P22" s="234">
        <f t="shared" si="13"/>
        <v>2860615.2645186428</v>
      </c>
      <c r="Q22" s="235">
        <f t="shared" si="13"/>
        <v>2903524.493486423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26"/>
      <c r="C23" s="231" t="s">
        <v>38</v>
      </c>
      <c r="D23" s="232"/>
      <c r="E23" s="233">
        <f>SUM(F23:Q23)</f>
        <v>36934.905646475818</v>
      </c>
      <c r="F23" s="234">
        <f>F19-F21</f>
        <v>2832.1683029640008</v>
      </c>
      <c r="G23" s="234">
        <f t="shared" ref="G23:P23" si="14">G19-G21</f>
        <v>2874.6508275084607</v>
      </c>
      <c r="H23" s="234">
        <f t="shared" si="14"/>
        <v>2917.7705899210878</v>
      </c>
      <c r="I23" s="234">
        <f t="shared" si="14"/>
        <v>2961.5371487699031</v>
      </c>
      <c r="J23" s="234">
        <f t="shared" si="14"/>
        <v>3005.9602060014522</v>
      </c>
      <c r="K23" s="234">
        <f t="shared" si="14"/>
        <v>3051.0496090914748</v>
      </c>
      <c r="L23" s="234">
        <f t="shared" si="14"/>
        <v>3096.8153532278466</v>
      </c>
      <c r="M23" s="234">
        <f t="shared" si="14"/>
        <v>3143.2675835262648</v>
      </c>
      <c r="N23" s="234">
        <f t="shared" si="14"/>
        <v>3190.4165972791579</v>
      </c>
      <c r="O23" s="234">
        <f t="shared" si="14"/>
        <v>3238.2728462383457</v>
      </c>
      <c r="P23" s="234">
        <f t="shared" si="14"/>
        <v>3286.8469389319207</v>
      </c>
      <c r="Q23" s="235">
        <f t="shared" ref="Q23" si="15">Q19-Q21</f>
        <v>3336.1496430158995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3"/>
      <c r="B24" s="18" t="s">
        <v>140</v>
      </c>
      <c r="C24" s="236" t="s">
        <v>141</v>
      </c>
      <c r="D24" s="237" t="s">
        <v>1</v>
      </c>
      <c r="E24" s="238">
        <f>SUM(F24:Q24)</f>
        <v>1375195.7453745925</v>
      </c>
      <c r="F24" s="238">
        <f>F4+F6</f>
        <v>105450</v>
      </c>
      <c r="G24" s="238">
        <f t="shared" ref="G24:Q24" si="16">G4+G6</f>
        <v>107031.75</v>
      </c>
      <c r="H24" s="238">
        <f t="shared" si="16"/>
        <v>108637.22625000001</v>
      </c>
      <c r="I24" s="238">
        <f t="shared" si="16"/>
        <v>110266.78464375</v>
      </c>
      <c r="J24" s="238">
        <f t="shared" si="16"/>
        <v>111920.78641340625</v>
      </c>
      <c r="K24" s="238">
        <f t="shared" si="16"/>
        <v>113599.59820960733</v>
      </c>
      <c r="L24" s="238">
        <f t="shared" si="16"/>
        <v>115303.59218275144</v>
      </c>
      <c r="M24" s="238">
        <f t="shared" si="16"/>
        <v>117033.14606549271</v>
      </c>
      <c r="N24" s="238">
        <f t="shared" si="16"/>
        <v>118788.6432564751</v>
      </c>
      <c r="O24" s="238">
        <f t="shared" si="16"/>
        <v>120570.47290532223</v>
      </c>
      <c r="P24" s="238">
        <f t="shared" si="16"/>
        <v>122379.02999890206</v>
      </c>
      <c r="Q24" s="239">
        <f t="shared" si="16"/>
        <v>124214.71544888557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25">
      <c r="A25" s="3"/>
      <c r="B25" s="18" t="s">
        <v>142</v>
      </c>
      <c r="C25" s="236" t="s">
        <v>143</v>
      </c>
      <c r="D25" s="237" t="s">
        <v>1</v>
      </c>
      <c r="E25" s="238">
        <f>SUM(F25:Q25)</f>
        <v>255876.28280761314</v>
      </c>
      <c r="F25" s="238">
        <f>F22*0.00796</f>
        <v>19620.591550560006</v>
      </c>
      <c r="G25" s="238">
        <f t="shared" ref="G25:P25" si="17">G22*0.00796</f>
        <v>19914.900423818402</v>
      </c>
      <c r="H25" s="238">
        <f t="shared" si="17"/>
        <v>20213.62393017568</v>
      </c>
      <c r="I25" s="238">
        <f t="shared" si="17"/>
        <v>20516.828289128312</v>
      </c>
      <c r="J25" s="238">
        <f t="shared" si="17"/>
        <v>20824.580713465239</v>
      </c>
      <c r="K25" s="238">
        <f t="shared" si="17"/>
        <v>21136.949424167218</v>
      </c>
      <c r="L25" s="238">
        <f t="shared" si="17"/>
        <v>21454.003665529726</v>
      </c>
      <c r="M25" s="238">
        <f t="shared" si="17"/>
        <v>21775.813720512677</v>
      </c>
      <c r="N25" s="238">
        <f t="shared" si="17"/>
        <v>22102.450926320362</v>
      </c>
      <c r="O25" s="238">
        <f t="shared" si="17"/>
        <v>22433.987690215174</v>
      </c>
      <c r="P25" s="238">
        <f t="shared" si="17"/>
        <v>22770.497505568397</v>
      </c>
      <c r="Q25" s="239">
        <f>Q22*0.00796</f>
        <v>23112.054968151926</v>
      </c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 thickBot="1" x14ac:dyDescent="0.3">
      <c r="A26" s="3"/>
      <c r="B26" s="19" t="s">
        <v>144</v>
      </c>
      <c r="C26" s="240" t="s">
        <v>145</v>
      </c>
      <c r="D26" s="241" t="s">
        <v>1</v>
      </c>
      <c r="E26" s="242">
        <f>E24+E25</f>
        <v>1631072.0281822057</v>
      </c>
      <c r="F26" s="242">
        <f t="shared" ref="F26:Q26" si="18">F24+F25</f>
        <v>125070.59155056</v>
      </c>
      <c r="G26" s="242">
        <f t="shared" si="18"/>
        <v>126946.6504238184</v>
      </c>
      <c r="H26" s="242">
        <f t="shared" si="18"/>
        <v>128850.85018017568</v>
      </c>
      <c r="I26" s="242">
        <f t="shared" si="18"/>
        <v>130783.61293287831</v>
      </c>
      <c r="J26" s="242">
        <f t="shared" si="18"/>
        <v>132745.36712687148</v>
      </c>
      <c r="K26" s="242">
        <f t="shared" si="18"/>
        <v>134736.54763377455</v>
      </c>
      <c r="L26" s="242">
        <f t="shared" si="18"/>
        <v>136757.59584828117</v>
      </c>
      <c r="M26" s="242">
        <f t="shared" si="18"/>
        <v>138808.95978600538</v>
      </c>
      <c r="N26" s="242">
        <f t="shared" si="18"/>
        <v>140891.09418279547</v>
      </c>
      <c r="O26" s="242">
        <f t="shared" si="18"/>
        <v>143004.46059553738</v>
      </c>
      <c r="P26" s="242">
        <f t="shared" si="18"/>
        <v>145149.52750447046</v>
      </c>
      <c r="Q26" s="243">
        <f t="shared" si="18"/>
        <v>147326.77041703751</v>
      </c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179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179"/>
      <c r="C28" s="3"/>
      <c r="D28" s="3"/>
      <c r="E28" s="24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179"/>
      <c r="C29" s="3"/>
      <c r="D29" s="3"/>
      <c r="E29" s="4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179"/>
      <c r="C30" s="3"/>
      <c r="D30" s="3"/>
      <c r="E30" s="24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179"/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179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179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179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179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179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179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179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179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179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179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179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179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179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179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179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179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179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179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179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179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179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179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179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179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</sheetData>
  <mergeCells count="7">
    <mergeCell ref="B2:C2"/>
    <mergeCell ref="B22:B23"/>
    <mergeCell ref="B4:B7"/>
    <mergeCell ref="B8:B11"/>
    <mergeCell ref="B12:B13"/>
    <mergeCell ref="B14:B15"/>
    <mergeCell ref="B16:B21"/>
  </mergeCells>
  <pageMargins left="0.7" right="0.7" top="0.75" bottom="0.75" header="0.3" footer="0.3"/>
  <pageSetup paperSize="9" orientation="portrait" r:id="rId1"/>
  <ignoredErrors>
    <ignoredError sqref="F19:F20 G19 E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D543"/>
  <sheetViews>
    <sheetView zoomScale="86" zoomScaleNormal="86" workbookViewId="0">
      <selection activeCell="D14" sqref="D14"/>
    </sheetView>
  </sheetViews>
  <sheetFormatPr defaultRowHeight="12.75" x14ac:dyDescent="0.25"/>
  <cols>
    <col min="1" max="1" width="29.5703125" style="246" customWidth="1"/>
    <col min="2" max="2" width="33" style="250" bestFit="1" customWidth="1"/>
    <col min="3" max="3" width="14" style="250" bestFit="1" customWidth="1"/>
    <col min="4" max="15" width="11.85546875" style="250" bestFit="1" customWidth="1"/>
    <col min="16" max="56" width="9.140625" style="246"/>
    <col min="57" max="16384" width="9.140625" style="250"/>
  </cols>
  <sheetData>
    <row r="1" spans="2:15" s="246" customFormat="1" ht="13.5" thickBot="1" x14ac:dyDescent="0.3"/>
    <row r="2" spans="2:15" ht="13.5" thickTop="1" x14ac:dyDescent="0.25">
      <c r="B2" s="247" t="s">
        <v>221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2:15" x14ac:dyDescent="0.25">
      <c r="B3" s="251"/>
      <c r="C3" s="252"/>
      <c r="D3" s="631" t="s">
        <v>128</v>
      </c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2"/>
    </row>
    <row r="4" spans="2:15" x14ac:dyDescent="0.25">
      <c r="B4" s="251"/>
      <c r="C4" s="253" t="s">
        <v>129</v>
      </c>
      <c r="D4" s="254">
        <v>1</v>
      </c>
      <c r="E4" s="254">
        <v>2</v>
      </c>
      <c r="F4" s="254">
        <v>3</v>
      </c>
      <c r="G4" s="254">
        <v>4</v>
      </c>
      <c r="H4" s="254">
        <v>5</v>
      </c>
      <c r="I4" s="254">
        <v>6</v>
      </c>
      <c r="J4" s="254">
        <v>7</v>
      </c>
      <c r="K4" s="254">
        <v>8</v>
      </c>
      <c r="L4" s="254">
        <v>9</v>
      </c>
      <c r="M4" s="254">
        <v>10</v>
      </c>
      <c r="N4" s="254">
        <v>11</v>
      </c>
      <c r="O4" s="255">
        <v>12</v>
      </c>
    </row>
    <row r="5" spans="2:15" x14ac:dyDescent="0.25">
      <c r="B5" s="256" t="s">
        <v>132</v>
      </c>
      <c r="C5" s="257">
        <f>'ΧΡΗΜ. ΑΝΑΛΥΣΗ'!E8</f>
        <v>156494.53716922819</v>
      </c>
      <c r="D5" s="258">
        <f>'ΧΡΗΜ. ΑΝΑΛΥΣΗ'!F8</f>
        <v>12000</v>
      </c>
      <c r="E5" s="258">
        <f>'ΧΡΗΜ. ΑΝΑΛΥΣΗ'!G8</f>
        <v>12180</v>
      </c>
      <c r="F5" s="258">
        <f>'ΧΡΗΜ. ΑΝΑΛΥΣΗ'!H8</f>
        <v>12362.7</v>
      </c>
      <c r="G5" s="258">
        <f>'ΧΡΗΜ. ΑΝΑΛΥΣΗ'!I8</f>
        <v>12548.140500000001</v>
      </c>
      <c r="H5" s="258">
        <f>'ΧΡΗΜ. ΑΝΑΛΥΣΗ'!J8</f>
        <v>12736.362607500001</v>
      </c>
      <c r="I5" s="258">
        <f>'ΧΡΗΜ. ΑΝΑΛΥΣΗ'!K8</f>
        <v>12927.408046612501</v>
      </c>
      <c r="J5" s="258">
        <f>'ΧΡΗΜ. ΑΝΑΛΥΣΗ'!L8</f>
        <v>13121.319167311689</v>
      </c>
      <c r="K5" s="258">
        <f>'ΧΡΗΜ. ΑΝΑΛΥΣΗ'!M8</f>
        <v>13318.138954821365</v>
      </c>
      <c r="L5" s="258">
        <f>'ΧΡΗΜ. ΑΝΑΛΥΣΗ'!N8</f>
        <v>13517.911039143684</v>
      </c>
      <c r="M5" s="258">
        <f>'ΧΡΗΜ. ΑΝΑΛΥΣΗ'!O8</f>
        <v>13720.679704730839</v>
      </c>
      <c r="N5" s="258">
        <f>'ΧΡΗΜ. ΑΝΑΛΥΣΗ'!P8</f>
        <v>13926.489900301802</v>
      </c>
      <c r="O5" s="259">
        <f>'ΧΡΗΜ. ΑΝΑΛΥΣΗ'!Q8</f>
        <v>14135.387248806328</v>
      </c>
    </row>
    <row r="6" spans="2:15" x14ac:dyDescent="0.25">
      <c r="B6" s="256" t="s">
        <v>133</v>
      </c>
      <c r="C6" s="257">
        <f>'ΧΡΗΜ. ΑΝΑΛΥΣΗ'!E9</f>
        <v>1872110.5702317692</v>
      </c>
      <c r="D6" s="258">
        <f>'ΧΡΗΜ. ΑΝΑΛΥΣΗ'!F9</f>
        <v>135703.91664060001</v>
      </c>
      <c r="E6" s="258">
        <f>'ΧΡΗΜ. ΑΝΑΛΥΣΗ'!G9</f>
        <v>139096.514556615</v>
      </c>
      <c r="F6" s="258">
        <f>'ΧΡΗΜ. ΑΝΑΛΥΣΗ'!H9</f>
        <v>142573.92742053038</v>
      </c>
      <c r="G6" s="258">
        <f>'ΧΡΗΜ. ΑΝΑΛΥΣΗ'!I9</f>
        <v>146138.27560604364</v>
      </c>
      <c r="H6" s="258">
        <f>'ΧΡΗΜ. ΑΝΑΛΥΣΗ'!J9</f>
        <v>149791.73249619475</v>
      </c>
      <c r="I6" s="258">
        <f>'ΧΡΗΜ. ΑΝΑΛΥΣΗ'!K9</f>
        <v>153536.5258085996</v>
      </c>
      <c r="J6" s="258">
        <f>'ΧΡΗΜ. ΑΝΑΛΥΣΗ'!L9</f>
        <v>157374.93895381459</v>
      </c>
      <c r="K6" s="258">
        <f>'ΧΡΗΜ. ΑΝΑΛΥΣΗ'!M9</f>
        <v>161309.31242765996</v>
      </c>
      <c r="L6" s="258">
        <f>'ΧΡΗΜ. ΑΝΑΛΥΣΗ'!N9</f>
        <v>165342.04523835148</v>
      </c>
      <c r="M6" s="258">
        <f>'ΧΡΗΜ. ΑΝΑΛΥΣΗ'!O9</f>
        <v>169475.59636931025</v>
      </c>
      <c r="N6" s="258">
        <f>'ΧΡΗΜ. ΑΝΑΛΥΣΗ'!P9</f>
        <v>173712.48627854305</v>
      </c>
      <c r="O6" s="259">
        <f>'ΧΡΗΜ. ΑΝΑΛΥΣΗ'!Q9</f>
        <v>178055.29843550659</v>
      </c>
    </row>
    <row r="7" spans="2:15" x14ac:dyDescent="0.25">
      <c r="B7" s="256" t="s">
        <v>134</v>
      </c>
      <c r="C7" s="257">
        <f>'ΧΡΗΜ. ΑΝΑΛΥΣΗ'!E10</f>
        <v>334670.08834210993</v>
      </c>
      <c r="D7" s="258">
        <f>'ΧΡΗΜ. ΑΝΑΛΥΣΗ'!F10</f>
        <v>25662.5</v>
      </c>
      <c r="E7" s="258">
        <f>'ΧΡΗΜ. ΑΝΑΛΥΣΗ'!G10</f>
        <v>26047.4375</v>
      </c>
      <c r="F7" s="258">
        <f>'ΧΡΗΜ. ΑΝΑΛΥΣΗ'!H10</f>
        <v>26438.149062500001</v>
      </c>
      <c r="G7" s="258">
        <f>'ΧΡΗΜ. ΑΝΑΛΥΣΗ'!I10</f>
        <v>26834.7212984375</v>
      </c>
      <c r="H7" s="258">
        <f>'ΧΡΗΜ. ΑΝΑΛΥΣΗ'!J10</f>
        <v>27237.242117914062</v>
      </c>
      <c r="I7" s="258">
        <f>'ΧΡΗΜ. ΑΝΑΛΥΣΗ'!K10</f>
        <v>27645.800749682774</v>
      </c>
      <c r="J7" s="258">
        <f>'ΧΡΗΜ. ΑΝΑΛΥΣΗ'!L10</f>
        <v>28060.487760928016</v>
      </c>
      <c r="K7" s="258">
        <f>'ΧΡΗΜ. ΑΝΑΛΥΣΗ'!M10</f>
        <v>28481.395077341935</v>
      </c>
      <c r="L7" s="258">
        <f>'ΧΡΗΜ. ΑΝΑΛΥΣΗ'!N10</f>
        <v>28908.616003502062</v>
      </c>
      <c r="M7" s="258">
        <f>'ΧΡΗΜ. ΑΝΑΛΥΣΗ'!O10</f>
        <v>29342.245243554593</v>
      </c>
      <c r="N7" s="258">
        <f>'ΧΡΗΜ. ΑΝΑΛΥΣΗ'!P10</f>
        <v>29782.37892220791</v>
      </c>
      <c r="O7" s="259">
        <f>'ΧΡΗΜ. ΑΝΑΛΥΣΗ'!Q10</f>
        <v>30229.114606041028</v>
      </c>
    </row>
    <row r="8" spans="2:15" ht="13.5" thickBot="1" x14ac:dyDescent="0.3">
      <c r="B8" s="260" t="s">
        <v>135</v>
      </c>
      <c r="C8" s="261">
        <f>'ΧΡΗΜ. ΑΝΑΛΥΣΗ'!E11</f>
        <v>2363275.1957431072</v>
      </c>
      <c r="D8" s="262">
        <f>'ΧΡΗΜ. ΑΝΑΛΥΣΗ'!F11</f>
        <v>173366.41664060001</v>
      </c>
      <c r="E8" s="262">
        <f>'ΧΡΗΜ. ΑΝΑΛΥΣΗ'!G11</f>
        <v>177323.952056615</v>
      </c>
      <c r="F8" s="262">
        <f>'ΧΡΗΜ. ΑΝΑΛΥΣΗ'!H11</f>
        <v>181374.77648303041</v>
      </c>
      <c r="G8" s="262">
        <f>'ΧΡΗΜ. ΑΝΑΛΥΣΗ'!I11</f>
        <v>185521.13740448115</v>
      </c>
      <c r="H8" s="262">
        <f>'ΧΡΗΜ. ΑΝΑΛΥΣΗ'!J11</f>
        <v>189765.33722160879</v>
      </c>
      <c r="I8" s="262">
        <f>'ΧΡΗΜ. ΑΝΑΛΥΣΗ'!K11</f>
        <v>194109.73460489488</v>
      </c>
      <c r="J8" s="262">
        <f>'ΧΡΗΜ. ΑΝΑΛΥΣΗ'!L11</f>
        <v>198556.7458820543</v>
      </c>
      <c r="K8" s="262">
        <f>'ΧΡΗΜ. ΑΝΑΛΥΣΗ'!M11</f>
        <v>203108.84645982325</v>
      </c>
      <c r="L8" s="262">
        <f>'ΧΡΗΜ. ΑΝΑΛΥΣΗ'!N11</f>
        <v>207768.57228099724</v>
      </c>
      <c r="M8" s="262">
        <f>'ΧΡΗΜ. ΑΝΑΛΥΣΗ'!O11</f>
        <v>212538.52131759567</v>
      </c>
      <c r="N8" s="262">
        <f>'ΧΡΗΜ. ΑΝΑΛΥΣΗ'!P11</f>
        <v>217421.35510105276</v>
      </c>
      <c r="O8" s="263">
        <f>'ΧΡΗΜ. ΑΝΑΛΥΣΗ'!Q11</f>
        <v>222419.80029035395</v>
      </c>
    </row>
    <row r="9" spans="2:15" s="246" customFormat="1" ht="13.5" thickTop="1" x14ac:dyDescent="0.25"/>
    <row r="10" spans="2:15" s="246" customFormat="1" x14ac:dyDescent="0.25"/>
    <row r="11" spans="2:15" s="246" customFormat="1" x14ac:dyDescent="0.25"/>
    <row r="12" spans="2:15" s="246" customFormat="1" x14ac:dyDescent="0.25"/>
    <row r="13" spans="2:15" s="246" customFormat="1" x14ac:dyDescent="0.25"/>
    <row r="14" spans="2:15" s="246" customFormat="1" x14ac:dyDescent="0.25"/>
    <row r="15" spans="2:15" s="246" customFormat="1" x14ac:dyDescent="0.25"/>
    <row r="16" spans="2:15" s="246" customFormat="1" x14ac:dyDescent="0.25"/>
    <row r="17" s="246" customFormat="1" x14ac:dyDescent="0.25"/>
    <row r="18" s="246" customFormat="1" x14ac:dyDescent="0.25"/>
    <row r="19" s="246" customFormat="1" x14ac:dyDescent="0.25"/>
    <row r="20" s="246" customFormat="1" x14ac:dyDescent="0.25"/>
    <row r="21" s="246" customFormat="1" x14ac:dyDescent="0.25"/>
    <row r="22" s="246" customFormat="1" x14ac:dyDescent="0.25"/>
    <row r="23" s="246" customFormat="1" x14ac:dyDescent="0.25"/>
    <row r="24" s="246" customFormat="1" x14ac:dyDescent="0.25"/>
    <row r="25" s="246" customFormat="1" x14ac:dyDescent="0.25"/>
    <row r="26" s="246" customFormat="1" x14ac:dyDescent="0.25"/>
    <row r="27" s="246" customFormat="1" x14ac:dyDescent="0.25"/>
    <row r="28" s="246" customFormat="1" x14ac:dyDescent="0.25"/>
    <row r="29" s="246" customFormat="1" x14ac:dyDescent="0.25"/>
    <row r="30" s="246" customFormat="1" x14ac:dyDescent="0.25"/>
    <row r="31" s="246" customFormat="1" x14ac:dyDescent="0.25"/>
    <row r="32" s="246" customFormat="1" x14ac:dyDescent="0.25"/>
    <row r="33" s="246" customFormat="1" x14ac:dyDescent="0.25"/>
    <row r="34" s="246" customFormat="1" x14ac:dyDescent="0.25"/>
    <row r="35" s="246" customFormat="1" x14ac:dyDescent="0.25"/>
    <row r="36" s="246" customFormat="1" x14ac:dyDescent="0.25"/>
    <row r="37" s="246" customFormat="1" x14ac:dyDescent="0.25"/>
    <row r="38" s="246" customFormat="1" x14ac:dyDescent="0.25"/>
    <row r="39" s="246" customFormat="1" x14ac:dyDescent="0.25"/>
    <row r="40" s="246" customFormat="1" x14ac:dyDescent="0.25"/>
    <row r="41" s="246" customFormat="1" x14ac:dyDescent="0.25"/>
    <row r="42" s="246" customFormat="1" x14ac:dyDescent="0.25"/>
    <row r="43" s="246" customFormat="1" x14ac:dyDescent="0.25"/>
    <row r="44" s="246" customFormat="1" x14ac:dyDescent="0.25"/>
    <row r="45" s="246" customFormat="1" x14ac:dyDescent="0.25"/>
    <row r="46" s="246" customFormat="1" x14ac:dyDescent="0.25"/>
    <row r="47" s="246" customFormat="1" x14ac:dyDescent="0.25"/>
    <row r="48" s="246" customFormat="1" x14ac:dyDescent="0.25"/>
    <row r="49" s="246" customFormat="1" x14ac:dyDescent="0.25"/>
    <row r="50" s="246" customFormat="1" x14ac:dyDescent="0.25"/>
    <row r="51" s="246" customFormat="1" x14ac:dyDescent="0.25"/>
    <row r="52" s="246" customFormat="1" x14ac:dyDescent="0.25"/>
    <row r="53" s="246" customFormat="1" x14ac:dyDescent="0.25"/>
    <row r="54" s="246" customFormat="1" x14ac:dyDescent="0.25"/>
    <row r="55" s="246" customFormat="1" x14ac:dyDescent="0.25"/>
    <row r="56" s="246" customFormat="1" x14ac:dyDescent="0.25"/>
    <row r="57" s="246" customFormat="1" x14ac:dyDescent="0.25"/>
    <row r="58" s="246" customFormat="1" x14ac:dyDescent="0.25"/>
    <row r="59" s="246" customFormat="1" x14ac:dyDescent="0.25"/>
    <row r="60" s="246" customFormat="1" x14ac:dyDescent="0.25"/>
    <row r="61" s="246" customFormat="1" x14ac:dyDescent="0.25"/>
    <row r="62" s="246" customFormat="1" x14ac:dyDescent="0.25"/>
    <row r="63" s="246" customFormat="1" x14ac:dyDescent="0.25"/>
    <row r="64" s="246" customFormat="1" x14ac:dyDescent="0.25"/>
    <row r="65" s="246" customFormat="1" x14ac:dyDescent="0.25"/>
    <row r="66" s="246" customFormat="1" x14ac:dyDescent="0.25"/>
    <row r="67" s="246" customFormat="1" x14ac:dyDescent="0.25"/>
    <row r="68" s="246" customFormat="1" x14ac:dyDescent="0.25"/>
    <row r="69" s="246" customFormat="1" x14ac:dyDescent="0.25"/>
    <row r="70" s="246" customFormat="1" x14ac:dyDescent="0.25"/>
    <row r="71" s="246" customFormat="1" x14ac:dyDescent="0.25"/>
    <row r="72" s="246" customFormat="1" x14ac:dyDescent="0.25"/>
    <row r="73" s="246" customFormat="1" x14ac:dyDescent="0.25"/>
    <row r="74" s="246" customFormat="1" x14ac:dyDescent="0.25"/>
    <row r="75" s="246" customFormat="1" x14ac:dyDescent="0.25"/>
    <row r="76" s="246" customFormat="1" x14ac:dyDescent="0.25"/>
    <row r="77" s="246" customFormat="1" x14ac:dyDescent="0.25"/>
    <row r="78" s="246" customFormat="1" x14ac:dyDescent="0.25"/>
    <row r="79" s="246" customFormat="1" x14ac:dyDescent="0.25"/>
    <row r="80" s="246" customFormat="1" x14ac:dyDescent="0.25"/>
    <row r="81" s="246" customFormat="1" x14ac:dyDescent="0.25"/>
    <row r="82" s="246" customFormat="1" x14ac:dyDescent="0.25"/>
    <row r="83" s="246" customFormat="1" x14ac:dyDescent="0.25"/>
    <row r="84" s="246" customFormat="1" x14ac:dyDescent="0.25"/>
    <row r="85" s="246" customFormat="1" x14ac:dyDescent="0.25"/>
    <row r="86" s="246" customFormat="1" x14ac:dyDescent="0.25"/>
    <row r="87" s="246" customFormat="1" x14ac:dyDescent="0.25"/>
    <row r="88" s="246" customFormat="1" x14ac:dyDescent="0.25"/>
    <row r="89" s="246" customFormat="1" x14ac:dyDescent="0.25"/>
    <row r="90" s="246" customFormat="1" x14ac:dyDescent="0.25"/>
    <row r="91" s="246" customFormat="1" x14ac:dyDescent="0.25"/>
    <row r="92" s="246" customFormat="1" x14ac:dyDescent="0.25"/>
    <row r="93" s="246" customFormat="1" x14ac:dyDescent="0.25"/>
    <row r="94" s="246" customFormat="1" x14ac:dyDescent="0.25"/>
    <row r="95" s="246" customFormat="1" x14ac:dyDescent="0.25"/>
    <row r="96" s="246" customFormat="1" x14ac:dyDescent="0.25"/>
    <row r="97" s="246" customFormat="1" x14ac:dyDescent="0.25"/>
    <row r="98" s="246" customFormat="1" x14ac:dyDescent="0.25"/>
    <row r="99" s="246" customFormat="1" x14ac:dyDescent="0.25"/>
    <row r="100" s="246" customFormat="1" x14ac:dyDescent="0.25"/>
    <row r="101" s="246" customFormat="1" x14ac:dyDescent="0.25"/>
    <row r="102" s="246" customFormat="1" x14ac:dyDescent="0.25"/>
    <row r="103" s="246" customFormat="1" x14ac:dyDescent="0.25"/>
    <row r="104" s="246" customFormat="1" x14ac:dyDescent="0.25"/>
    <row r="105" s="246" customFormat="1" x14ac:dyDescent="0.25"/>
    <row r="106" s="246" customFormat="1" x14ac:dyDescent="0.25"/>
    <row r="107" s="246" customFormat="1" x14ac:dyDescent="0.25"/>
    <row r="108" s="246" customFormat="1" x14ac:dyDescent="0.25"/>
    <row r="109" s="246" customFormat="1" x14ac:dyDescent="0.25"/>
    <row r="110" s="246" customFormat="1" x14ac:dyDescent="0.25"/>
    <row r="111" s="246" customFormat="1" x14ac:dyDescent="0.25"/>
    <row r="112" s="246" customFormat="1" x14ac:dyDescent="0.25"/>
    <row r="113" s="246" customFormat="1" x14ac:dyDescent="0.25"/>
    <row r="114" s="246" customFormat="1" x14ac:dyDescent="0.25"/>
    <row r="115" s="246" customFormat="1" x14ac:dyDescent="0.25"/>
    <row r="116" s="246" customFormat="1" x14ac:dyDescent="0.25"/>
    <row r="117" s="246" customFormat="1" x14ac:dyDescent="0.25"/>
    <row r="118" s="246" customFormat="1" x14ac:dyDescent="0.25"/>
    <row r="119" s="246" customFormat="1" x14ac:dyDescent="0.25"/>
    <row r="120" s="246" customFormat="1" x14ac:dyDescent="0.25"/>
    <row r="121" s="246" customFormat="1" x14ac:dyDescent="0.25"/>
    <row r="122" s="246" customFormat="1" x14ac:dyDescent="0.25"/>
    <row r="123" s="246" customFormat="1" x14ac:dyDescent="0.25"/>
    <row r="124" s="246" customFormat="1" x14ac:dyDescent="0.25"/>
    <row r="125" s="246" customFormat="1" x14ac:dyDescent="0.25"/>
    <row r="126" s="246" customFormat="1" x14ac:dyDescent="0.25"/>
    <row r="127" s="246" customFormat="1" x14ac:dyDescent="0.25"/>
    <row r="128" s="246" customFormat="1" x14ac:dyDescent="0.25"/>
    <row r="129" s="246" customFormat="1" x14ac:dyDescent="0.25"/>
    <row r="130" s="246" customFormat="1" x14ac:dyDescent="0.25"/>
    <row r="131" s="246" customFormat="1" x14ac:dyDescent="0.25"/>
    <row r="132" s="246" customFormat="1" x14ac:dyDescent="0.25"/>
    <row r="133" s="246" customFormat="1" x14ac:dyDescent="0.25"/>
    <row r="134" s="246" customFormat="1" x14ac:dyDescent="0.25"/>
    <row r="135" s="246" customFormat="1" x14ac:dyDescent="0.25"/>
    <row r="136" s="246" customFormat="1" x14ac:dyDescent="0.25"/>
    <row r="137" s="246" customFormat="1" x14ac:dyDescent="0.25"/>
    <row r="138" s="246" customFormat="1" x14ac:dyDescent="0.25"/>
    <row r="139" s="246" customFormat="1" x14ac:dyDescent="0.25"/>
    <row r="140" s="246" customFormat="1" x14ac:dyDescent="0.25"/>
    <row r="141" s="246" customFormat="1" x14ac:dyDescent="0.25"/>
    <row r="142" s="246" customFormat="1" x14ac:dyDescent="0.25"/>
    <row r="143" s="246" customFormat="1" x14ac:dyDescent="0.25"/>
    <row r="144" s="246" customFormat="1" x14ac:dyDescent="0.25"/>
    <row r="145" s="246" customFormat="1" x14ac:dyDescent="0.25"/>
    <row r="146" s="246" customFormat="1" x14ac:dyDescent="0.25"/>
    <row r="147" s="246" customFormat="1" x14ac:dyDescent="0.25"/>
    <row r="148" s="246" customFormat="1" x14ac:dyDescent="0.25"/>
    <row r="149" s="246" customFormat="1" x14ac:dyDescent="0.25"/>
    <row r="150" s="246" customFormat="1" x14ac:dyDescent="0.25"/>
    <row r="151" s="246" customFormat="1" x14ac:dyDescent="0.25"/>
    <row r="152" s="246" customFormat="1" x14ac:dyDescent="0.25"/>
    <row r="153" s="246" customFormat="1" x14ac:dyDescent="0.25"/>
    <row r="154" s="246" customFormat="1" x14ac:dyDescent="0.25"/>
    <row r="155" s="246" customFormat="1" x14ac:dyDescent="0.25"/>
    <row r="156" s="246" customFormat="1" x14ac:dyDescent="0.25"/>
    <row r="157" s="246" customFormat="1" x14ac:dyDescent="0.25"/>
    <row r="158" s="246" customFormat="1" x14ac:dyDescent="0.25"/>
    <row r="159" s="246" customFormat="1" x14ac:dyDescent="0.25"/>
    <row r="160" s="246" customFormat="1" x14ac:dyDescent="0.25"/>
    <row r="161" s="246" customFormat="1" x14ac:dyDescent="0.25"/>
    <row r="162" s="246" customFormat="1" x14ac:dyDescent="0.25"/>
    <row r="163" s="246" customFormat="1" x14ac:dyDescent="0.25"/>
    <row r="164" s="246" customFormat="1" x14ac:dyDescent="0.25"/>
    <row r="165" s="246" customFormat="1" x14ac:dyDescent="0.25"/>
    <row r="166" s="246" customFormat="1" x14ac:dyDescent="0.25"/>
    <row r="167" s="246" customFormat="1" x14ac:dyDescent="0.25"/>
    <row r="168" s="246" customFormat="1" x14ac:dyDescent="0.25"/>
    <row r="169" s="246" customFormat="1" x14ac:dyDescent="0.25"/>
    <row r="170" s="246" customFormat="1" x14ac:dyDescent="0.25"/>
    <row r="171" s="246" customFormat="1" x14ac:dyDescent="0.25"/>
    <row r="172" s="246" customFormat="1" x14ac:dyDescent="0.25"/>
    <row r="173" s="246" customFormat="1" x14ac:dyDescent="0.25"/>
    <row r="174" s="246" customFormat="1" x14ac:dyDescent="0.25"/>
    <row r="175" s="246" customFormat="1" x14ac:dyDescent="0.25"/>
    <row r="176" s="246" customFormat="1" x14ac:dyDescent="0.25"/>
    <row r="177" s="246" customFormat="1" x14ac:dyDescent="0.25"/>
    <row r="178" s="246" customFormat="1" x14ac:dyDescent="0.25"/>
    <row r="179" s="246" customFormat="1" x14ac:dyDescent="0.25"/>
    <row r="180" s="246" customFormat="1" x14ac:dyDescent="0.25"/>
    <row r="181" s="246" customFormat="1" x14ac:dyDescent="0.25"/>
    <row r="182" s="246" customFormat="1" x14ac:dyDescent="0.25"/>
    <row r="183" s="246" customFormat="1" x14ac:dyDescent="0.25"/>
    <row r="184" s="246" customFormat="1" x14ac:dyDescent="0.25"/>
    <row r="185" s="246" customFormat="1" x14ac:dyDescent="0.25"/>
    <row r="186" s="246" customFormat="1" x14ac:dyDescent="0.25"/>
    <row r="187" s="246" customFormat="1" x14ac:dyDescent="0.25"/>
    <row r="188" s="246" customFormat="1" x14ac:dyDescent="0.25"/>
    <row r="189" s="246" customFormat="1" x14ac:dyDescent="0.25"/>
    <row r="190" s="246" customFormat="1" x14ac:dyDescent="0.25"/>
    <row r="191" s="246" customFormat="1" x14ac:dyDescent="0.25"/>
    <row r="192" s="246" customFormat="1" x14ac:dyDescent="0.25"/>
    <row r="193" s="246" customFormat="1" x14ac:dyDescent="0.25"/>
    <row r="194" s="246" customFormat="1" x14ac:dyDescent="0.25"/>
    <row r="195" s="246" customFormat="1" x14ac:dyDescent="0.25"/>
    <row r="196" s="246" customFormat="1" x14ac:dyDescent="0.25"/>
    <row r="197" s="246" customFormat="1" x14ac:dyDescent="0.25"/>
    <row r="198" s="246" customFormat="1" x14ac:dyDescent="0.25"/>
    <row r="199" s="246" customFormat="1" x14ac:dyDescent="0.25"/>
    <row r="200" s="246" customFormat="1" x14ac:dyDescent="0.25"/>
    <row r="201" s="246" customFormat="1" x14ac:dyDescent="0.25"/>
    <row r="202" s="246" customFormat="1" x14ac:dyDescent="0.25"/>
    <row r="203" s="246" customFormat="1" x14ac:dyDescent="0.25"/>
    <row r="204" s="246" customFormat="1" x14ac:dyDescent="0.25"/>
    <row r="205" s="246" customFormat="1" x14ac:dyDescent="0.25"/>
    <row r="206" s="246" customFormat="1" x14ac:dyDescent="0.25"/>
    <row r="207" s="246" customFormat="1" x14ac:dyDescent="0.25"/>
    <row r="208" s="246" customFormat="1" x14ac:dyDescent="0.25"/>
    <row r="209" s="246" customFormat="1" x14ac:dyDescent="0.25"/>
    <row r="210" s="246" customFormat="1" x14ac:dyDescent="0.25"/>
    <row r="211" s="246" customFormat="1" x14ac:dyDescent="0.25"/>
    <row r="212" s="246" customFormat="1" x14ac:dyDescent="0.25"/>
    <row r="213" s="246" customFormat="1" x14ac:dyDescent="0.25"/>
    <row r="214" s="246" customFormat="1" x14ac:dyDescent="0.25"/>
    <row r="215" s="246" customFormat="1" x14ac:dyDescent="0.25"/>
    <row r="216" s="246" customFormat="1" x14ac:dyDescent="0.25"/>
    <row r="217" s="246" customFormat="1" x14ac:dyDescent="0.25"/>
    <row r="218" s="246" customFormat="1" x14ac:dyDescent="0.25"/>
    <row r="219" s="246" customFormat="1" x14ac:dyDescent="0.25"/>
    <row r="220" s="246" customFormat="1" x14ac:dyDescent="0.25"/>
    <row r="221" s="246" customFormat="1" x14ac:dyDescent="0.25"/>
    <row r="222" s="246" customFormat="1" x14ac:dyDescent="0.25"/>
    <row r="223" s="246" customFormat="1" x14ac:dyDescent="0.25"/>
    <row r="224" s="246" customFormat="1" x14ac:dyDescent="0.25"/>
    <row r="225" s="246" customFormat="1" x14ac:dyDescent="0.25"/>
    <row r="226" s="246" customFormat="1" x14ac:dyDescent="0.25"/>
    <row r="227" s="246" customFormat="1" x14ac:dyDescent="0.25"/>
    <row r="228" s="246" customFormat="1" x14ac:dyDescent="0.25"/>
    <row r="229" s="246" customFormat="1" x14ac:dyDescent="0.25"/>
    <row r="230" s="246" customFormat="1" x14ac:dyDescent="0.25"/>
    <row r="231" s="246" customFormat="1" x14ac:dyDescent="0.25"/>
    <row r="232" s="246" customFormat="1" x14ac:dyDescent="0.25"/>
    <row r="233" s="246" customFormat="1" x14ac:dyDescent="0.25"/>
    <row r="234" s="246" customFormat="1" x14ac:dyDescent="0.25"/>
    <row r="235" s="246" customFormat="1" x14ac:dyDescent="0.25"/>
    <row r="236" s="246" customFormat="1" x14ac:dyDescent="0.25"/>
    <row r="237" s="246" customFormat="1" x14ac:dyDescent="0.25"/>
    <row r="238" s="246" customFormat="1" x14ac:dyDescent="0.25"/>
    <row r="239" s="246" customFormat="1" x14ac:dyDescent="0.25"/>
    <row r="240" s="246" customFormat="1" x14ac:dyDescent="0.25"/>
    <row r="241" s="246" customFormat="1" x14ac:dyDescent="0.25"/>
    <row r="242" s="246" customFormat="1" x14ac:dyDescent="0.25"/>
    <row r="243" s="246" customFormat="1" x14ac:dyDescent="0.25"/>
    <row r="244" s="246" customFormat="1" x14ac:dyDescent="0.25"/>
    <row r="245" s="246" customFormat="1" x14ac:dyDescent="0.25"/>
    <row r="246" s="246" customFormat="1" x14ac:dyDescent="0.25"/>
    <row r="247" s="246" customFormat="1" x14ac:dyDescent="0.25"/>
    <row r="248" s="246" customFormat="1" x14ac:dyDescent="0.25"/>
    <row r="249" s="246" customFormat="1" x14ac:dyDescent="0.25"/>
    <row r="250" s="246" customFormat="1" x14ac:dyDescent="0.25"/>
    <row r="251" s="246" customFormat="1" x14ac:dyDescent="0.25"/>
    <row r="252" s="246" customFormat="1" x14ac:dyDescent="0.25"/>
    <row r="253" s="246" customFormat="1" x14ac:dyDescent="0.25"/>
    <row r="254" s="246" customFormat="1" x14ac:dyDescent="0.25"/>
    <row r="255" s="246" customFormat="1" x14ac:dyDescent="0.25"/>
    <row r="256" s="246" customFormat="1" x14ac:dyDescent="0.25"/>
    <row r="257" s="246" customFormat="1" x14ac:dyDescent="0.25"/>
    <row r="258" s="246" customFormat="1" x14ac:dyDescent="0.25"/>
    <row r="259" s="246" customFormat="1" x14ac:dyDescent="0.25"/>
    <row r="260" s="246" customFormat="1" x14ac:dyDescent="0.25"/>
    <row r="261" s="246" customFormat="1" x14ac:dyDescent="0.25"/>
    <row r="262" s="246" customFormat="1" x14ac:dyDescent="0.25"/>
    <row r="263" s="246" customFormat="1" x14ac:dyDescent="0.25"/>
    <row r="264" s="246" customFormat="1" x14ac:dyDescent="0.25"/>
    <row r="265" s="246" customFormat="1" x14ac:dyDescent="0.25"/>
    <row r="266" s="246" customFormat="1" x14ac:dyDescent="0.25"/>
    <row r="267" s="246" customFormat="1" x14ac:dyDescent="0.25"/>
    <row r="268" s="246" customFormat="1" x14ac:dyDescent="0.25"/>
    <row r="269" s="246" customFormat="1" x14ac:dyDescent="0.25"/>
    <row r="270" s="246" customFormat="1" x14ac:dyDescent="0.25"/>
    <row r="271" s="246" customFormat="1" x14ac:dyDescent="0.25"/>
    <row r="272" s="246" customFormat="1" x14ac:dyDescent="0.25"/>
    <row r="273" s="246" customFormat="1" x14ac:dyDescent="0.25"/>
    <row r="274" s="246" customFormat="1" x14ac:dyDescent="0.25"/>
    <row r="275" s="246" customFormat="1" x14ac:dyDescent="0.25"/>
    <row r="276" s="246" customFormat="1" x14ac:dyDescent="0.25"/>
    <row r="277" s="246" customFormat="1" x14ac:dyDescent="0.25"/>
    <row r="278" s="246" customFormat="1" x14ac:dyDescent="0.25"/>
    <row r="279" s="246" customFormat="1" x14ac:dyDescent="0.25"/>
    <row r="280" s="246" customFormat="1" x14ac:dyDescent="0.25"/>
    <row r="281" s="246" customFormat="1" x14ac:dyDescent="0.25"/>
    <row r="282" s="246" customFormat="1" x14ac:dyDescent="0.25"/>
    <row r="283" s="246" customFormat="1" x14ac:dyDescent="0.25"/>
    <row r="284" s="246" customFormat="1" x14ac:dyDescent="0.25"/>
    <row r="285" s="246" customFormat="1" x14ac:dyDescent="0.25"/>
    <row r="286" s="246" customFormat="1" x14ac:dyDescent="0.25"/>
    <row r="287" s="246" customFormat="1" x14ac:dyDescent="0.25"/>
    <row r="288" s="246" customFormat="1" x14ac:dyDescent="0.25"/>
    <row r="289" s="246" customFormat="1" x14ac:dyDescent="0.25"/>
    <row r="290" s="246" customFormat="1" x14ac:dyDescent="0.25"/>
    <row r="291" s="246" customFormat="1" x14ac:dyDescent="0.25"/>
    <row r="292" s="246" customFormat="1" x14ac:dyDescent="0.25"/>
    <row r="293" s="246" customFormat="1" x14ac:dyDescent="0.25"/>
    <row r="294" s="246" customFormat="1" x14ac:dyDescent="0.25"/>
    <row r="295" s="246" customFormat="1" x14ac:dyDescent="0.25"/>
    <row r="296" s="246" customFormat="1" x14ac:dyDescent="0.25"/>
    <row r="297" s="246" customFormat="1" x14ac:dyDescent="0.25"/>
    <row r="298" s="246" customFormat="1" x14ac:dyDescent="0.25"/>
    <row r="299" s="246" customFormat="1" x14ac:dyDescent="0.25"/>
    <row r="300" s="246" customFormat="1" x14ac:dyDescent="0.25"/>
    <row r="301" s="246" customFormat="1" x14ac:dyDescent="0.25"/>
    <row r="302" s="246" customFormat="1" x14ac:dyDescent="0.25"/>
    <row r="303" s="246" customFormat="1" x14ac:dyDescent="0.25"/>
    <row r="304" s="246" customFormat="1" x14ac:dyDescent="0.25"/>
    <row r="305" s="246" customFormat="1" x14ac:dyDescent="0.25"/>
    <row r="306" s="246" customFormat="1" x14ac:dyDescent="0.25"/>
    <row r="307" s="246" customFormat="1" x14ac:dyDescent="0.25"/>
    <row r="308" s="246" customFormat="1" x14ac:dyDescent="0.25"/>
    <row r="309" s="246" customFormat="1" x14ac:dyDescent="0.25"/>
    <row r="310" s="246" customFormat="1" x14ac:dyDescent="0.25"/>
    <row r="311" s="246" customFormat="1" x14ac:dyDescent="0.25"/>
    <row r="312" s="246" customFormat="1" x14ac:dyDescent="0.25"/>
    <row r="313" s="246" customFormat="1" x14ac:dyDescent="0.25"/>
    <row r="314" s="246" customFormat="1" x14ac:dyDescent="0.25"/>
    <row r="315" s="246" customFormat="1" x14ac:dyDescent="0.25"/>
    <row r="316" s="246" customFormat="1" x14ac:dyDescent="0.25"/>
    <row r="317" s="246" customFormat="1" x14ac:dyDescent="0.25"/>
    <row r="318" s="246" customFormat="1" x14ac:dyDescent="0.25"/>
    <row r="319" s="246" customFormat="1" x14ac:dyDescent="0.25"/>
    <row r="320" s="246" customFormat="1" x14ac:dyDescent="0.25"/>
    <row r="321" s="246" customFormat="1" x14ac:dyDescent="0.25"/>
    <row r="322" s="246" customFormat="1" x14ac:dyDescent="0.25"/>
    <row r="323" s="246" customFormat="1" x14ac:dyDescent="0.25"/>
    <row r="324" s="246" customFormat="1" x14ac:dyDescent="0.25"/>
    <row r="325" s="246" customFormat="1" x14ac:dyDescent="0.25"/>
    <row r="326" s="246" customFormat="1" x14ac:dyDescent="0.25"/>
    <row r="327" s="246" customFormat="1" x14ac:dyDescent="0.25"/>
    <row r="328" s="246" customFormat="1" x14ac:dyDescent="0.25"/>
    <row r="329" s="246" customFormat="1" x14ac:dyDescent="0.25"/>
    <row r="330" s="246" customFormat="1" x14ac:dyDescent="0.25"/>
    <row r="331" s="246" customFormat="1" x14ac:dyDescent="0.25"/>
    <row r="332" s="246" customFormat="1" x14ac:dyDescent="0.25"/>
    <row r="333" s="246" customFormat="1" x14ac:dyDescent="0.25"/>
    <row r="334" s="246" customFormat="1" x14ac:dyDescent="0.25"/>
    <row r="335" s="246" customFormat="1" x14ac:dyDescent="0.25"/>
    <row r="336" s="246" customFormat="1" x14ac:dyDescent="0.25"/>
    <row r="337" s="246" customFormat="1" x14ac:dyDescent="0.25"/>
    <row r="338" s="246" customFormat="1" x14ac:dyDescent="0.25"/>
    <row r="339" s="246" customFormat="1" x14ac:dyDescent="0.25"/>
    <row r="340" s="246" customFormat="1" x14ac:dyDescent="0.25"/>
    <row r="341" s="246" customFormat="1" x14ac:dyDescent="0.25"/>
    <row r="342" s="246" customFormat="1" x14ac:dyDescent="0.25"/>
    <row r="343" s="246" customFormat="1" x14ac:dyDescent="0.25"/>
    <row r="344" s="246" customFormat="1" x14ac:dyDescent="0.25"/>
    <row r="345" s="246" customFormat="1" x14ac:dyDescent="0.25"/>
    <row r="346" s="246" customFormat="1" x14ac:dyDescent="0.25"/>
    <row r="347" s="246" customFormat="1" x14ac:dyDescent="0.25"/>
    <row r="348" s="246" customFormat="1" x14ac:dyDescent="0.25"/>
    <row r="349" s="246" customFormat="1" x14ac:dyDescent="0.25"/>
    <row r="350" s="246" customFormat="1" x14ac:dyDescent="0.25"/>
    <row r="351" s="246" customFormat="1" x14ac:dyDescent="0.25"/>
    <row r="352" s="246" customFormat="1" x14ac:dyDescent="0.25"/>
    <row r="353" s="246" customFormat="1" x14ac:dyDescent="0.25"/>
    <row r="354" s="246" customFormat="1" x14ac:dyDescent="0.25"/>
    <row r="355" s="246" customFormat="1" x14ac:dyDescent="0.25"/>
    <row r="356" s="246" customFormat="1" x14ac:dyDescent="0.25"/>
    <row r="357" s="246" customFormat="1" x14ac:dyDescent="0.25"/>
    <row r="358" s="246" customFormat="1" x14ac:dyDescent="0.25"/>
    <row r="359" s="246" customFormat="1" x14ac:dyDescent="0.25"/>
    <row r="360" s="246" customFormat="1" x14ac:dyDescent="0.25"/>
    <row r="361" s="246" customFormat="1" x14ac:dyDescent="0.25"/>
    <row r="362" s="246" customFormat="1" x14ac:dyDescent="0.25"/>
    <row r="363" s="246" customFormat="1" x14ac:dyDescent="0.25"/>
    <row r="364" s="246" customFormat="1" x14ac:dyDescent="0.25"/>
    <row r="365" s="246" customFormat="1" x14ac:dyDescent="0.25"/>
    <row r="366" s="246" customFormat="1" x14ac:dyDescent="0.25"/>
    <row r="367" s="246" customFormat="1" x14ac:dyDescent="0.25"/>
    <row r="368" s="246" customFormat="1" x14ac:dyDescent="0.25"/>
    <row r="369" s="246" customFormat="1" x14ac:dyDescent="0.25"/>
    <row r="370" s="246" customFormat="1" x14ac:dyDescent="0.25"/>
    <row r="371" s="246" customFormat="1" x14ac:dyDescent="0.25"/>
    <row r="372" s="246" customFormat="1" x14ac:dyDescent="0.25"/>
    <row r="373" s="246" customFormat="1" x14ac:dyDescent="0.25"/>
    <row r="374" s="246" customFormat="1" x14ac:dyDescent="0.25"/>
    <row r="375" s="246" customFormat="1" x14ac:dyDescent="0.25"/>
    <row r="376" s="246" customFormat="1" x14ac:dyDescent="0.25"/>
    <row r="377" s="246" customFormat="1" x14ac:dyDescent="0.25"/>
    <row r="378" s="246" customFormat="1" x14ac:dyDescent="0.25"/>
    <row r="379" s="246" customFormat="1" x14ac:dyDescent="0.25"/>
    <row r="380" s="246" customFormat="1" x14ac:dyDescent="0.25"/>
    <row r="381" s="246" customFormat="1" x14ac:dyDescent="0.25"/>
    <row r="382" s="246" customFormat="1" x14ac:dyDescent="0.25"/>
    <row r="383" s="246" customFormat="1" x14ac:dyDescent="0.25"/>
    <row r="384" s="246" customFormat="1" x14ac:dyDescent="0.25"/>
    <row r="385" s="246" customFormat="1" x14ac:dyDescent="0.25"/>
    <row r="386" s="246" customFormat="1" x14ac:dyDescent="0.25"/>
    <row r="387" s="246" customFormat="1" x14ac:dyDescent="0.25"/>
    <row r="388" s="246" customFormat="1" x14ac:dyDescent="0.25"/>
    <row r="389" s="246" customFormat="1" x14ac:dyDescent="0.25"/>
    <row r="390" s="246" customFormat="1" x14ac:dyDescent="0.25"/>
    <row r="391" s="246" customFormat="1" x14ac:dyDescent="0.25"/>
    <row r="392" s="246" customFormat="1" x14ac:dyDescent="0.25"/>
    <row r="393" s="246" customFormat="1" x14ac:dyDescent="0.25"/>
    <row r="394" s="246" customFormat="1" x14ac:dyDescent="0.25"/>
    <row r="395" s="246" customFormat="1" x14ac:dyDescent="0.25"/>
    <row r="396" s="246" customFormat="1" x14ac:dyDescent="0.25"/>
    <row r="397" s="246" customFormat="1" x14ac:dyDescent="0.25"/>
    <row r="398" s="246" customFormat="1" x14ac:dyDescent="0.25"/>
    <row r="399" s="246" customFormat="1" x14ac:dyDescent="0.25"/>
    <row r="400" s="246" customFormat="1" x14ac:dyDescent="0.25"/>
    <row r="401" s="246" customFormat="1" x14ac:dyDescent="0.25"/>
    <row r="402" s="246" customFormat="1" x14ac:dyDescent="0.25"/>
    <row r="403" s="246" customFormat="1" x14ac:dyDescent="0.25"/>
    <row r="404" s="246" customFormat="1" x14ac:dyDescent="0.25"/>
    <row r="405" s="246" customFormat="1" x14ac:dyDescent="0.25"/>
    <row r="406" s="246" customFormat="1" x14ac:dyDescent="0.25"/>
    <row r="407" s="246" customFormat="1" x14ac:dyDescent="0.25"/>
    <row r="408" s="246" customFormat="1" x14ac:dyDescent="0.25"/>
    <row r="409" s="246" customFormat="1" x14ac:dyDescent="0.25"/>
    <row r="410" s="246" customFormat="1" x14ac:dyDescent="0.25"/>
    <row r="411" s="246" customFormat="1" x14ac:dyDescent="0.25"/>
    <row r="412" s="246" customFormat="1" x14ac:dyDescent="0.25"/>
    <row r="413" s="246" customFormat="1" x14ac:dyDescent="0.25"/>
    <row r="414" s="246" customFormat="1" x14ac:dyDescent="0.25"/>
    <row r="415" s="246" customFormat="1" x14ac:dyDescent="0.25"/>
    <row r="416" s="246" customFormat="1" x14ac:dyDescent="0.25"/>
    <row r="417" s="246" customFormat="1" x14ac:dyDescent="0.25"/>
    <row r="418" s="246" customFormat="1" x14ac:dyDescent="0.25"/>
    <row r="419" s="246" customFormat="1" x14ac:dyDescent="0.25"/>
    <row r="420" s="246" customFormat="1" x14ac:dyDescent="0.25"/>
    <row r="421" s="246" customFormat="1" x14ac:dyDescent="0.25"/>
    <row r="422" s="246" customFormat="1" x14ac:dyDescent="0.25"/>
    <row r="423" s="246" customFormat="1" x14ac:dyDescent="0.25"/>
    <row r="424" s="246" customFormat="1" x14ac:dyDescent="0.25"/>
    <row r="425" s="246" customFormat="1" x14ac:dyDescent="0.25"/>
    <row r="426" s="246" customFormat="1" x14ac:dyDescent="0.25"/>
    <row r="427" s="246" customFormat="1" x14ac:dyDescent="0.25"/>
    <row r="428" s="246" customFormat="1" x14ac:dyDescent="0.25"/>
    <row r="429" s="246" customFormat="1" x14ac:dyDescent="0.25"/>
    <row r="430" s="246" customFormat="1" x14ac:dyDescent="0.25"/>
    <row r="431" s="246" customFormat="1" x14ac:dyDescent="0.25"/>
    <row r="432" s="246" customFormat="1" x14ac:dyDescent="0.25"/>
    <row r="433" s="246" customFormat="1" x14ac:dyDescent="0.25"/>
    <row r="434" s="246" customFormat="1" x14ac:dyDescent="0.25"/>
    <row r="435" s="246" customFormat="1" x14ac:dyDescent="0.25"/>
    <row r="436" s="246" customFormat="1" x14ac:dyDescent="0.25"/>
    <row r="437" s="246" customFormat="1" x14ac:dyDescent="0.25"/>
    <row r="438" s="246" customFormat="1" x14ac:dyDescent="0.25"/>
    <row r="439" s="246" customFormat="1" x14ac:dyDescent="0.25"/>
    <row r="440" s="246" customFormat="1" x14ac:dyDescent="0.25"/>
    <row r="441" s="246" customFormat="1" x14ac:dyDescent="0.25"/>
    <row r="442" s="246" customFormat="1" x14ac:dyDescent="0.25"/>
    <row r="443" s="246" customFormat="1" x14ac:dyDescent="0.25"/>
    <row r="444" s="246" customFormat="1" x14ac:dyDescent="0.25"/>
    <row r="445" s="246" customFormat="1" x14ac:dyDescent="0.25"/>
    <row r="446" s="246" customFormat="1" x14ac:dyDescent="0.25"/>
    <row r="447" s="246" customFormat="1" x14ac:dyDescent="0.25"/>
    <row r="448" s="246" customFormat="1" x14ac:dyDescent="0.25"/>
    <row r="449" s="246" customFormat="1" x14ac:dyDescent="0.25"/>
    <row r="450" s="246" customFormat="1" x14ac:dyDescent="0.25"/>
    <row r="451" s="246" customFormat="1" x14ac:dyDescent="0.25"/>
    <row r="452" s="246" customFormat="1" x14ac:dyDescent="0.25"/>
    <row r="453" s="246" customFormat="1" x14ac:dyDescent="0.25"/>
    <row r="454" s="246" customFormat="1" x14ac:dyDescent="0.25"/>
    <row r="455" s="246" customFormat="1" x14ac:dyDescent="0.25"/>
    <row r="456" s="246" customFormat="1" x14ac:dyDescent="0.25"/>
    <row r="457" s="246" customFormat="1" x14ac:dyDescent="0.25"/>
    <row r="458" s="246" customFormat="1" x14ac:dyDescent="0.25"/>
    <row r="459" s="246" customFormat="1" x14ac:dyDescent="0.25"/>
    <row r="460" s="246" customFormat="1" x14ac:dyDescent="0.25"/>
    <row r="461" s="246" customFormat="1" x14ac:dyDescent="0.25"/>
    <row r="462" s="246" customFormat="1" x14ac:dyDescent="0.25"/>
    <row r="463" s="246" customFormat="1" x14ac:dyDescent="0.25"/>
    <row r="464" s="246" customFormat="1" x14ac:dyDescent="0.25"/>
    <row r="465" s="246" customFormat="1" x14ac:dyDescent="0.25"/>
    <row r="466" s="246" customFormat="1" x14ac:dyDescent="0.25"/>
    <row r="467" s="246" customFormat="1" x14ac:dyDescent="0.25"/>
    <row r="468" s="246" customFormat="1" x14ac:dyDescent="0.25"/>
    <row r="469" s="246" customFormat="1" x14ac:dyDescent="0.25"/>
    <row r="470" s="246" customFormat="1" x14ac:dyDescent="0.25"/>
    <row r="471" s="246" customFormat="1" x14ac:dyDescent="0.25"/>
    <row r="472" s="246" customFormat="1" x14ac:dyDescent="0.25"/>
    <row r="473" s="246" customFormat="1" x14ac:dyDescent="0.25"/>
    <row r="474" s="246" customFormat="1" x14ac:dyDescent="0.25"/>
    <row r="475" s="246" customFormat="1" x14ac:dyDescent="0.25"/>
    <row r="476" s="246" customFormat="1" x14ac:dyDescent="0.25"/>
    <row r="477" s="246" customFormat="1" x14ac:dyDescent="0.25"/>
    <row r="478" s="246" customFormat="1" x14ac:dyDescent="0.25"/>
    <row r="479" s="246" customFormat="1" x14ac:dyDescent="0.25"/>
    <row r="480" s="246" customFormat="1" x14ac:dyDescent="0.25"/>
    <row r="481" s="246" customFormat="1" x14ac:dyDescent="0.25"/>
    <row r="482" s="246" customFormat="1" x14ac:dyDescent="0.25"/>
    <row r="483" s="246" customFormat="1" x14ac:dyDescent="0.25"/>
    <row r="484" s="246" customFormat="1" x14ac:dyDescent="0.25"/>
    <row r="485" s="246" customFormat="1" x14ac:dyDescent="0.25"/>
    <row r="486" s="246" customFormat="1" x14ac:dyDescent="0.25"/>
    <row r="487" s="246" customFormat="1" x14ac:dyDescent="0.25"/>
    <row r="488" s="246" customFormat="1" x14ac:dyDescent="0.25"/>
    <row r="489" s="246" customFormat="1" x14ac:dyDescent="0.25"/>
    <row r="490" s="246" customFormat="1" x14ac:dyDescent="0.25"/>
    <row r="491" s="246" customFormat="1" x14ac:dyDescent="0.25"/>
    <row r="492" s="246" customFormat="1" x14ac:dyDescent="0.25"/>
    <row r="493" s="246" customFormat="1" x14ac:dyDescent="0.25"/>
    <row r="494" s="246" customFormat="1" x14ac:dyDescent="0.25"/>
    <row r="495" s="246" customFormat="1" x14ac:dyDescent="0.25"/>
    <row r="496" s="246" customFormat="1" x14ac:dyDescent="0.25"/>
    <row r="497" s="246" customFormat="1" x14ac:dyDescent="0.25"/>
    <row r="498" s="246" customFormat="1" x14ac:dyDescent="0.25"/>
    <row r="499" s="246" customFormat="1" x14ac:dyDescent="0.25"/>
    <row r="500" s="246" customFormat="1" x14ac:dyDescent="0.25"/>
    <row r="501" s="246" customFormat="1" x14ac:dyDescent="0.25"/>
    <row r="502" s="246" customFormat="1" x14ac:dyDescent="0.25"/>
    <row r="503" s="246" customFormat="1" x14ac:dyDescent="0.25"/>
    <row r="504" s="246" customFormat="1" x14ac:dyDescent="0.25"/>
    <row r="505" s="246" customFormat="1" x14ac:dyDescent="0.25"/>
    <row r="506" s="246" customFormat="1" x14ac:dyDescent="0.25"/>
    <row r="507" s="246" customFormat="1" x14ac:dyDescent="0.25"/>
    <row r="508" s="246" customFormat="1" x14ac:dyDescent="0.25"/>
    <row r="509" s="246" customFormat="1" x14ac:dyDescent="0.25"/>
    <row r="510" s="246" customFormat="1" x14ac:dyDescent="0.25"/>
    <row r="511" s="246" customFormat="1" x14ac:dyDescent="0.25"/>
    <row r="512" s="246" customFormat="1" x14ac:dyDescent="0.25"/>
    <row r="513" s="246" customFormat="1" x14ac:dyDescent="0.25"/>
    <row r="514" s="246" customFormat="1" x14ac:dyDescent="0.25"/>
    <row r="515" s="246" customFormat="1" x14ac:dyDescent="0.25"/>
    <row r="516" s="246" customFormat="1" x14ac:dyDescent="0.25"/>
    <row r="517" s="246" customFormat="1" x14ac:dyDescent="0.25"/>
    <row r="518" s="246" customFormat="1" x14ac:dyDescent="0.25"/>
    <row r="519" s="246" customFormat="1" x14ac:dyDescent="0.25"/>
    <row r="520" s="246" customFormat="1" x14ac:dyDescent="0.25"/>
    <row r="521" s="246" customFormat="1" x14ac:dyDescent="0.25"/>
    <row r="522" s="246" customFormat="1" x14ac:dyDescent="0.25"/>
    <row r="523" s="246" customFormat="1" x14ac:dyDescent="0.25"/>
    <row r="524" s="246" customFormat="1" x14ac:dyDescent="0.25"/>
    <row r="525" s="246" customFormat="1" x14ac:dyDescent="0.25"/>
    <row r="526" s="246" customFormat="1" x14ac:dyDescent="0.25"/>
    <row r="527" s="246" customFormat="1" x14ac:dyDescent="0.25"/>
    <row r="528" s="246" customFormat="1" x14ac:dyDescent="0.25"/>
    <row r="529" s="246" customFormat="1" x14ac:dyDescent="0.25"/>
    <row r="530" s="246" customFormat="1" x14ac:dyDescent="0.25"/>
    <row r="531" s="246" customFormat="1" x14ac:dyDescent="0.25"/>
    <row r="532" s="246" customFormat="1" x14ac:dyDescent="0.25"/>
    <row r="533" s="246" customFormat="1" x14ac:dyDescent="0.25"/>
    <row r="534" s="246" customFormat="1" x14ac:dyDescent="0.25"/>
    <row r="535" s="246" customFormat="1" x14ac:dyDescent="0.25"/>
    <row r="536" s="246" customFormat="1" x14ac:dyDescent="0.25"/>
    <row r="537" s="246" customFormat="1" x14ac:dyDescent="0.25"/>
    <row r="538" s="246" customFormat="1" x14ac:dyDescent="0.25"/>
    <row r="539" s="246" customFormat="1" x14ac:dyDescent="0.25"/>
    <row r="540" s="246" customFormat="1" x14ac:dyDescent="0.25"/>
    <row r="541" s="246" customFormat="1" x14ac:dyDescent="0.25"/>
    <row r="542" s="246" customFormat="1" x14ac:dyDescent="0.25"/>
    <row r="543" s="246" customFormat="1" x14ac:dyDescent="0.25"/>
  </sheetData>
  <mergeCells count="1">
    <mergeCell ref="D3:O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B55"/>
  <sheetViews>
    <sheetView zoomScale="75" zoomScaleNormal="75" workbookViewId="0">
      <selection activeCell="P12" sqref="P12"/>
    </sheetView>
  </sheetViews>
  <sheetFormatPr defaultRowHeight="15" x14ac:dyDescent="0.25"/>
  <cols>
    <col min="1" max="1" width="29.5703125" style="3" customWidth="1"/>
    <col min="2" max="2" width="31.7109375" style="266" customWidth="1"/>
    <col min="3" max="3" width="17.5703125" style="266" customWidth="1"/>
    <col min="4" max="4" width="14" style="266" customWidth="1"/>
    <col min="5" max="5" width="16.28515625" style="266" bestFit="1" customWidth="1"/>
    <col min="6" max="6" width="13.85546875" style="266" customWidth="1"/>
    <col min="7" max="8" width="13.5703125" style="266" customWidth="1"/>
    <col min="9" max="9" width="14.5703125" style="266" customWidth="1"/>
    <col min="10" max="10" width="15.5703125" style="266" customWidth="1"/>
    <col min="11" max="11" width="14.85546875" style="266" customWidth="1"/>
    <col min="12" max="12" width="16" style="266" customWidth="1"/>
    <col min="13" max="13" width="15.5703125" style="266" customWidth="1"/>
    <col min="14" max="14" width="15.140625" style="266" customWidth="1"/>
    <col min="15" max="15" width="16" style="266" customWidth="1"/>
    <col min="16" max="54" width="9.140625" style="3"/>
    <col min="55" max="16384" width="9.140625" style="266"/>
  </cols>
  <sheetData>
    <row r="1" spans="2:15" s="3" customFormat="1" ht="15.75" thickBot="1" x14ac:dyDescent="0.3"/>
    <row r="2" spans="2:15" ht="15.75" thickTop="1" x14ac:dyDescent="0.25">
      <c r="B2" s="638" t="s">
        <v>222</v>
      </c>
      <c r="C2" s="639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</row>
    <row r="3" spans="2:15" ht="25.5" x14ac:dyDescent="0.25">
      <c r="B3" s="267" t="s">
        <v>216</v>
      </c>
      <c r="C3" s="268">
        <f>'ΚΟΣΤΟΣ ΕΠΕΝΔΥΣΗΣ'!E12</f>
        <v>1356685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</row>
    <row r="4" spans="2:15" x14ac:dyDescent="0.25">
      <c r="B4" s="271" t="s">
        <v>72</v>
      </c>
      <c r="C4" s="268">
        <f>'ΚΟΣΤΟΣ ΕΠΕΝΔΥΣΗΣ'!E13</f>
        <v>120000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</row>
    <row r="5" spans="2:15" x14ac:dyDescent="0.25">
      <c r="B5" s="432" t="str">
        <f>'ΚΟΣΤΟΣ ΕΠΕΝΔΥΣΗΣ'!$B$14</f>
        <v>Smart Cities (Εγκατάσταση - Εξοπλισμός)</v>
      </c>
      <c r="C5" s="433">
        <f>'ΚΟΣΤΟΣ ΕΠΕΝΔΥΣΗΣ'!E14</f>
        <v>185150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70"/>
    </row>
    <row r="6" spans="2:15" x14ac:dyDescent="0.25">
      <c r="B6" s="271" t="s">
        <v>73</v>
      </c>
      <c r="C6" s="268">
        <f>'ΚΟΣΤΟΣ ΕΠΕΝΔΥΣΗΣ'!E15</f>
        <v>30000</v>
      </c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70"/>
    </row>
    <row r="7" spans="2:15" x14ac:dyDescent="0.25">
      <c r="B7" s="272" t="s">
        <v>10</v>
      </c>
      <c r="C7" s="431">
        <f>'ΚΟΣΤΟΣ ΕΠΕΝΔΥΣΗΣ'!E20</f>
        <v>1691835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70"/>
    </row>
    <row r="8" spans="2:15" x14ac:dyDescent="0.25">
      <c r="B8" s="271" t="s">
        <v>229</v>
      </c>
      <c r="C8" s="268">
        <f>'ΚΟΣΤΟΣ ΕΠΕΝΔΥΣΗΣ'!E17</f>
        <v>406040.39999999997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70"/>
    </row>
    <row r="9" spans="2:15" x14ac:dyDescent="0.25">
      <c r="B9" s="635" t="s">
        <v>130</v>
      </c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7"/>
    </row>
    <row r="10" spans="2:15" x14ac:dyDescent="0.25">
      <c r="B10" s="633"/>
      <c r="C10" s="634"/>
      <c r="D10" s="631" t="s">
        <v>128</v>
      </c>
      <c r="E10" s="631"/>
      <c r="F10" s="631"/>
      <c r="G10" s="631"/>
      <c r="H10" s="631"/>
      <c r="I10" s="631"/>
      <c r="J10" s="631"/>
      <c r="K10" s="631"/>
      <c r="L10" s="631"/>
      <c r="M10" s="631"/>
      <c r="N10" s="631"/>
      <c r="O10" s="632"/>
    </row>
    <row r="11" spans="2:15" ht="23.25" customHeight="1" x14ac:dyDescent="0.25">
      <c r="B11" s="633"/>
      <c r="C11" s="634"/>
      <c r="D11" s="254">
        <v>1</v>
      </c>
      <c r="E11" s="254">
        <v>2</v>
      </c>
      <c r="F11" s="254">
        <v>3</v>
      </c>
      <c r="G11" s="254">
        <v>4</v>
      </c>
      <c r="H11" s="254">
        <v>5</v>
      </c>
      <c r="I11" s="254">
        <v>6</v>
      </c>
      <c r="J11" s="254">
        <v>7</v>
      </c>
      <c r="K11" s="254">
        <v>8</v>
      </c>
      <c r="L11" s="254">
        <v>9</v>
      </c>
      <c r="M11" s="254">
        <v>10</v>
      </c>
      <c r="N11" s="254">
        <v>11</v>
      </c>
      <c r="O11" s="255">
        <v>12</v>
      </c>
    </row>
    <row r="12" spans="2:15" x14ac:dyDescent="0.25">
      <c r="B12" s="272" t="s">
        <v>131</v>
      </c>
      <c r="C12" s="273">
        <f>'ΧΡΗΜ. ΑΝΑΛΥΣΗ'!E15</f>
        <v>5029285.8032992799</v>
      </c>
      <c r="D12" s="274">
        <f>'ΧΡΗΜ. ΑΝΑΛΥΣΗ'!F15</f>
        <v>364558.47868440009</v>
      </c>
      <c r="E12" s="274">
        <f>'ΧΡΗΜ. ΑΝΑΛΥΣΗ'!G15</f>
        <v>373672.44065151003</v>
      </c>
      <c r="F12" s="274">
        <f>'ΧΡΗΜ. ΑΝΑΛΥΣΗ'!H15</f>
        <v>383014.2516677978</v>
      </c>
      <c r="G12" s="274">
        <f>'ΧΡΗΜ. ΑΝΑΛΥΣΗ'!I15</f>
        <v>392589.60795949271</v>
      </c>
      <c r="H12" s="274">
        <f>'ΧΡΗΜ. ΑΝΑΛΥΣΗ'!J15</f>
        <v>402404.34815848002</v>
      </c>
      <c r="I12" s="274">
        <f>'ΧΡΗΜ. ΑΝΑΛΥΣΗ'!K15</f>
        <v>412464.45686244214</v>
      </c>
      <c r="J12" s="274">
        <f>'ΧΡΗΜ. ΑΝΑΛΥΣΗ'!L15</f>
        <v>422776.06828400318</v>
      </c>
      <c r="K12" s="274">
        <f>'ΧΡΗΜ. ΑΝΑΛΥΣΗ'!M15</f>
        <v>433345.46999110316</v>
      </c>
      <c r="L12" s="274">
        <f>'ΧΡΗΜ. ΑΝΑΛΥΣΗ'!N15</f>
        <v>444179.10674088087</v>
      </c>
      <c r="M12" s="274">
        <f>'ΧΡΗΜ. ΑΝΑΛΥΣΗ'!O15</f>
        <v>455283.58440940292</v>
      </c>
      <c r="N12" s="274">
        <f>'ΧΡΗΜ. ΑΝΑΛΥΣΗ'!P15</f>
        <v>466665.67401963798</v>
      </c>
      <c r="O12" s="275">
        <f>'ΧΡΗΜ. ΑΝΑΛΥΣΗ'!Q15</f>
        <v>478332.31587012898</v>
      </c>
    </row>
    <row r="13" spans="2:15" x14ac:dyDescent="0.25">
      <c r="B13" s="271" t="s">
        <v>229</v>
      </c>
      <c r="C13" s="276">
        <f>C12*0.24</f>
        <v>1207028.5927918272</v>
      </c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8"/>
    </row>
    <row r="14" spans="2:15" ht="15.75" thickBot="1" x14ac:dyDescent="0.3">
      <c r="B14" s="279" t="s">
        <v>187</v>
      </c>
      <c r="C14" s="280">
        <f>AVERAGE(D12:O12)</f>
        <v>419107.15027494001</v>
      </c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2"/>
    </row>
    <row r="15" spans="2:15" s="3" customFormat="1" ht="16.5" thickTop="1" thickBot="1" x14ac:dyDescent="0.3">
      <c r="B15" s="279" t="s">
        <v>188</v>
      </c>
      <c r="C15" s="280">
        <f>C7+C8</f>
        <v>2097875.4</v>
      </c>
    </row>
    <row r="16" spans="2:15" s="3" customFormat="1" ht="16.5" thickTop="1" thickBot="1" x14ac:dyDescent="0.3">
      <c r="B16" s="279" t="s">
        <v>189</v>
      </c>
      <c r="C16" s="280">
        <f>C12+C13</f>
        <v>6236314.3960911073</v>
      </c>
      <c r="E16" s="429" t="s">
        <v>138</v>
      </c>
    </row>
    <row r="17" spans="2:3" s="3" customFormat="1" ht="15.75" thickTop="1" x14ac:dyDescent="0.25">
      <c r="B17" s="3" t="s">
        <v>138</v>
      </c>
    </row>
    <row r="18" spans="2:3" s="3" customFormat="1" x14ac:dyDescent="0.25"/>
    <row r="19" spans="2:3" s="3" customFormat="1" x14ac:dyDescent="0.25"/>
    <row r="20" spans="2:3" s="3" customFormat="1" x14ac:dyDescent="0.25">
      <c r="C20" s="429" t="s">
        <v>138</v>
      </c>
    </row>
    <row r="21" spans="2:3" s="3" customFormat="1" x14ac:dyDescent="0.25"/>
    <row r="22" spans="2:3" s="3" customFormat="1" x14ac:dyDescent="0.25"/>
    <row r="23" spans="2:3" s="3" customFormat="1" x14ac:dyDescent="0.25"/>
    <row r="24" spans="2:3" s="3" customFormat="1" x14ac:dyDescent="0.25"/>
    <row r="25" spans="2:3" s="3" customFormat="1" x14ac:dyDescent="0.25"/>
    <row r="26" spans="2:3" s="3" customFormat="1" x14ac:dyDescent="0.25"/>
    <row r="27" spans="2:3" s="3" customFormat="1" x14ac:dyDescent="0.25"/>
    <row r="28" spans="2:3" s="3" customFormat="1" x14ac:dyDescent="0.25"/>
    <row r="29" spans="2:3" s="3" customFormat="1" x14ac:dyDescent="0.25"/>
    <row r="30" spans="2:3" s="3" customFormat="1" x14ac:dyDescent="0.25"/>
    <row r="31" spans="2:3" s="3" customFormat="1" x14ac:dyDescent="0.25"/>
    <row r="32" spans="2:3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4">
    <mergeCell ref="B10:C11"/>
    <mergeCell ref="D10:O10"/>
    <mergeCell ref="B9:O9"/>
    <mergeCell ref="B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Φύλλα εργασίας</vt:lpstr>
      </vt:variant>
      <vt:variant>
        <vt:i4>14</vt:i4>
      </vt:variant>
    </vt:vector>
  </HeadingPairs>
  <TitlesOfParts>
    <vt:vector size="14" baseType="lpstr">
      <vt:lpstr>ΑΡΧΙΚΗ</vt:lpstr>
      <vt:lpstr>ΔΕΔΟΜΕΝΑ</vt:lpstr>
      <vt:lpstr>SMART </vt:lpstr>
      <vt:lpstr>ΠΑΡΑΔΟΧΕΣ </vt:lpstr>
      <vt:lpstr>ΒΑΣΙΚΟ ΣΕΝΑΡΙΟ</vt:lpstr>
      <vt:lpstr>ΚΟΣΤΟΣ ΕΠΕΝΔΥΣΗΣ</vt:lpstr>
      <vt:lpstr>ΧΡΗΜ. ΑΝΑΛΥΣΗ</vt:lpstr>
      <vt:lpstr>ΕΞΟΔΑ</vt:lpstr>
      <vt:lpstr>ΠΡΟΥΠΟΛΟΓΙΣΜΟΣ</vt:lpstr>
      <vt:lpstr>ΔΑΝΕΙΑ</vt:lpstr>
      <vt:lpstr>ΑΠΟΤΕΛΕΣΜΑΤΑ</vt:lpstr>
      <vt:lpstr>ΤΑΜΕΙΑΚΕΣ ΡΟΕΣ - ΔΕΙΚΤΕΣ</vt:lpstr>
      <vt:lpstr>ΣΥΓΚΕΝΤΡΩΤΙΚΑ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MYLONAKIS</dc:creator>
  <cp:lastModifiedBy>YiaMyl</cp:lastModifiedBy>
  <cp:lastPrinted>2013-11-07T12:49:19Z</cp:lastPrinted>
  <dcterms:created xsi:type="dcterms:W3CDTF">2013-11-04T12:50:45Z</dcterms:created>
  <dcterms:modified xsi:type="dcterms:W3CDTF">2017-05-23T22:13:07Z</dcterms:modified>
  <cp:contentStatus/>
</cp:coreProperties>
</file>