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E:\YiaMyl\Επιφάνεια εργασίας\"/>
    </mc:Choice>
  </mc:AlternateContent>
  <bookViews>
    <workbookView xWindow="20445" yWindow="585" windowWidth="19560" windowHeight="7440" tabRatio="863"/>
  </bookViews>
  <sheets>
    <sheet name="ΑΡΧΙΚΗ" sheetId="2" r:id="rId1"/>
    <sheet name="ΔΕΔΟΜΕΝΑ" sheetId="10" r:id="rId2"/>
    <sheet name="ΠΑΡΑΔΟΧΕΣ " sheetId="7" r:id="rId3"/>
    <sheet name="ΒΑΣΙΚΟ ΣΕΝΑΡΙΟ" sheetId="4" r:id="rId4"/>
    <sheet name="ΚΟΣΤΟΣ ΕΠΕΝΔΥΣΗΣ" sheetId="11" r:id="rId5"/>
    <sheet name="ΧΡΗΜ. ΑΝΑΛΥΣΗ" sheetId="5" r:id="rId6"/>
    <sheet name="ΔΑΝΕΙΑ" sheetId="14" r:id="rId7"/>
    <sheet name="ΑΠΟΤΕΛΕΣΜΑΤΑ" sheetId="17" r:id="rId8"/>
    <sheet name="ΤΑΜΕΙΑΚΕΣ ΡΟΕΣ - ΔΕΙΚΤΕΣ" sheetId="13" r:id="rId9"/>
    <sheet name="ΣΥΓΚΕΝΤΡΩΤΙΚΑ" sheetId="22" r:id="rId10"/>
  </sheets>
  <definedNames>
    <definedName name="_xlnm._FilterDatabase" localSheetId="1" hidden="1">ΔΕΔΟΜΕΝΑ!$F$4:$H$4</definedName>
    <definedName name="solver_adj" localSheetId="8" hidden="1">'ΤΑΜΕΙΑΚΕΣ ΡΟΕΣ - ΔΕΙΚΤΕΣ'!$F$38:$O$38</definedName>
    <definedName name="solver_cvg" localSheetId="8" hidden="1">0.0001</definedName>
    <definedName name="solver_drv" localSheetId="8" hidden="1">1</definedName>
    <definedName name="solver_eng" localSheetId="8" hidden="1">1</definedName>
    <definedName name="solver_est" localSheetId="8" hidden="1">1</definedName>
    <definedName name="solver_itr" localSheetId="8" hidden="1">2147483647</definedName>
    <definedName name="solver_mip" localSheetId="8" hidden="1">2147483647</definedName>
    <definedName name="solver_mni" localSheetId="8" hidden="1">30</definedName>
    <definedName name="solver_mrt" localSheetId="8" hidden="1">0.075</definedName>
    <definedName name="solver_msl" localSheetId="8" hidden="1">2</definedName>
    <definedName name="solver_neg" localSheetId="8" hidden="1">1</definedName>
    <definedName name="solver_nod" localSheetId="8" hidden="1">2147483647</definedName>
    <definedName name="solver_num" localSheetId="8" hidden="1">0</definedName>
    <definedName name="solver_nwt" localSheetId="8" hidden="1">1</definedName>
    <definedName name="solver_opt" localSheetId="8" hidden="1">'ΤΑΜΕΙΑΚΕΣ ΡΟΕΣ - ΔΕΙΚΤΕΣ'!$C$42</definedName>
    <definedName name="solver_pre" localSheetId="8" hidden="1">0.000001</definedName>
    <definedName name="solver_rbv" localSheetId="8" hidden="1">2</definedName>
    <definedName name="solver_rlx" localSheetId="8" hidden="1">2</definedName>
    <definedName name="solver_rsd" localSheetId="8" hidden="1">0</definedName>
    <definedName name="solver_scl" localSheetId="8" hidden="1">2</definedName>
    <definedName name="solver_sho" localSheetId="8" hidden="1">2</definedName>
    <definedName name="solver_ssz" localSheetId="8" hidden="1">0</definedName>
    <definedName name="solver_tim" localSheetId="8" hidden="1">2147483647</definedName>
    <definedName name="solver_tol" localSheetId="8" hidden="1">0.01</definedName>
    <definedName name="solver_typ" localSheetId="8" hidden="1">2</definedName>
    <definedName name="solver_val" localSheetId="8" hidden="1">0.12</definedName>
    <definedName name="solver_ver" localSheetId="8" hidden="1">3</definedName>
  </definedNames>
  <calcPr calcId="162913"/>
</workbook>
</file>

<file path=xl/calcChain.xml><?xml version="1.0" encoding="utf-8"?>
<calcChain xmlns="http://schemas.openxmlformats.org/spreadsheetml/2006/main">
  <c r="D5" i="11" l="1"/>
  <c r="C16" i="14" l="1"/>
  <c r="D10" i="11"/>
  <c r="D9" i="11"/>
  <c r="D8" i="11"/>
  <c r="D7" i="11"/>
  <c r="D6" i="11"/>
  <c r="C10" i="11"/>
  <c r="C9" i="11"/>
  <c r="C8" i="11"/>
  <c r="C7" i="11"/>
  <c r="C6" i="11"/>
  <c r="C5" i="11"/>
  <c r="E12" i="4"/>
  <c r="F17" i="4"/>
  <c r="F16" i="4"/>
  <c r="F12" i="4"/>
  <c r="E17" i="4"/>
  <c r="E16" i="4"/>
  <c r="E15" i="4"/>
  <c r="E14" i="4"/>
  <c r="E13" i="4"/>
  <c r="C4" i="4"/>
  <c r="E4" i="4"/>
  <c r="F4" i="4"/>
  <c r="C5" i="4"/>
  <c r="E5" i="4"/>
  <c r="F5" i="4"/>
  <c r="C6" i="4"/>
  <c r="E6" i="4"/>
  <c r="F6" i="4"/>
  <c r="C7" i="4"/>
  <c r="E7" i="4"/>
  <c r="F7" i="4"/>
  <c r="C8" i="4"/>
  <c r="E8" i="4"/>
  <c r="F8" i="4"/>
  <c r="C9" i="4"/>
  <c r="E9" i="4"/>
  <c r="F9" i="4"/>
  <c r="C24" i="10"/>
  <c r="C13" i="4" s="1"/>
  <c r="C25" i="10"/>
  <c r="C14" i="4" s="1"/>
  <c r="C26" i="10"/>
  <c r="C15" i="4" s="1"/>
  <c r="C27" i="10"/>
  <c r="C16" i="4" s="1"/>
  <c r="C28" i="10"/>
  <c r="C17" i="4" s="1"/>
  <c r="C23" i="10"/>
  <c r="G6" i="4" l="1"/>
  <c r="G9" i="4"/>
  <c r="G5" i="4"/>
  <c r="G7" i="4"/>
  <c r="G8" i="4"/>
  <c r="G4" i="4"/>
  <c r="F13" i="4"/>
  <c r="F14" i="4"/>
  <c r="F15" i="4"/>
  <c r="B6" i="11"/>
  <c r="B7" i="11"/>
  <c r="B8" i="11"/>
  <c r="B9" i="11"/>
  <c r="B10" i="11"/>
  <c r="E9" i="11" l="1"/>
  <c r="E8" i="11"/>
  <c r="E6" i="11"/>
  <c r="E10" i="11"/>
  <c r="E7" i="11"/>
  <c r="G15" i="4"/>
  <c r="G16" i="4"/>
  <c r="G13" i="4"/>
  <c r="G17" i="4"/>
  <c r="G14" i="4"/>
  <c r="O32" i="13"/>
  <c r="N32" i="13"/>
  <c r="M32" i="13"/>
  <c r="B15" i="11" l="1"/>
  <c r="B14" i="11"/>
  <c r="C12" i="4"/>
  <c r="H13" i="10" l="1"/>
  <c r="D14" i="22" l="1"/>
  <c r="C8" i="14"/>
  <c r="C6" i="14"/>
  <c r="C4" i="14"/>
  <c r="D8" i="10" l="1"/>
  <c r="E14" i="5" l="1"/>
  <c r="D9" i="22" s="1"/>
  <c r="E15" i="11" l="1"/>
  <c r="E16" i="11"/>
  <c r="E14" i="11"/>
  <c r="J17" i="10"/>
  <c r="J18" i="10"/>
  <c r="J19" i="10"/>
  <c r="J20" i="10"/>
  <c r="F19" i="10"/>
  <c r="F20" i="10"/>
  <c r="F18" i="10"/>
  <c r="F17" i="10"/>
  <c r="J16" i="10"/>
  <c r="F8" i="5" s="1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F16" i="10"/>
  <c r="D9" i="17" l="1"/>
  <c r="H9" i="17"/>
  <c r="L9" i="17"/>
  <c r="E9" i="17"/>
  <c r="I9" i="17"/>
  <c r="M9" i="17"/>
  <c r="F9" i="17"/>
  <c r="J9" i="17"/>
  <c r="C9" i="17"/>
  <c r="F10" i="5"/>
  <c r="N9" i="17"/>
  <c r="G9" i="17"/>
  <c r="K9" i="17"/>
  <c r="J21" i="10"/>
  <c r="C13" i="11"/>
  <c r="B5" i="11"/>
  <c r="F21" i="10"/>
  <c r="H7" i="7" l="1"/>
  <c r="H8" i="7" s="1"/>
  <c r="F6" i="5" l="1"/>
  <c r="C24" i="14" l="1"/>
  <c r="C14" i="14"/>
  <c r="C18" i="14" l="1"/>
  <c r="G12" i="4" l="1"/>
  <c r="F3" i="5" l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K6" i="7"/>
  <c r="M6" i="7" s="1"/>
  <c r="K5" i="7"/>
  <c r="M5" i="7" s="1"/>
  <c r="K7" i="7" l="1"/>
  <c r="M7" i="7"/>
  <c r="E7" i="17" l="1"/>
  <c r="I7" i="17"/>
  <c r="M7" i="17"/>
  <c r="F7" i="17"/>
  <c r="J7" i="17"/>
  <c r="N7" i="17"/>
  <c r="G7" i="17"/>
  <c r="K7" i="17"/>
  <c r="C7" i="17"/>
  <c r="D7" i="17"/>
  <c r="H7" i="17"/>
  <c r="L7" i="17"/>
  <c r="G10" i="5"/>
  <c r="M8" i="7"/>
  <c r="H4" i="4" l="1"/>
  <c r="I4" i="4" s="1"/>
  <c r="Q5" i="5" s="1"/>
  <c r="H12" i="4"/>
  <c r="I12" i="4" s="1"/>
  <c r="J12" i="4" s="1"/>
  <c r="H10" i="5"/>
  <c r="E5" i="11"/>
  <c r="E13" i="11" s="1"/>
  <c r="D6" i="13"/>
  <c r="F4" i="5"/>
  <c r="F13" i="5" l="1"/>
  <c r="F24" i="5" s="1"/>
  <c r="J21" i="4"/>
  <c r="J22" i="4" s="1"/>
  <c r="J23" i="4" s="1"/>
  <c r="I10" i="5"/>
  <c r="G6" i="5"/>
  <c r="F16" i="5"/>
  <c r="F18" i="5" s="1"/>
  <c r="J4" i="4"/>
  <c r="G4" i="5"/>
  <c r="E6" i="13"/>
  <c r="H5" i="5"/>
  <c r="L5" i="5"/>
  <c r="P5" i="5"/>
  <c r="I5" i="5"/>
  <c r="M5" i="5"/>
  <c r="F5" i="5"/>
  <c r="J5" i="5"/>
  <c r="N5" i="5"/>
  <c r="G5" i="5"/>
  <c r="K5" i="5"/>
  <c r="O5" i="5"/>
  <c r="H6" i="5" l="1"/>
  <c r="I6" i="5" s="1"/>
  <c r="J24" i="4"/>
  <c r="J10" i="5"/>
  <c r="G13" i="5"/>
  <c r="G24" i="5" s="1"/>
  <c r="E5" i="5"/>
  <c r="I9" i="5"/>
  <c r="G9" i="5"/>
  <c r="K9" i="5"/>
  <c r="N9" i="5"/>
  <c r="E17" i="11"/>
  <c r="E19" i="11" s="1"/>
  <c r="E21" i="11" s="1"/>
  <c r="J9" i="5"/>
  <c r="O9" i="5"/>
  <c r="L9" i="5"/>
  <c r="M9" i="5"/>
  <c r="Q9" i="5"/>
  <c r="H9" i="5"/>
  <c r="F9" i="5"/>
  <c r="F17" i="5"/>
  <c r="G17" i="5" s="1"/>
  <c r="P9" i="5"/>
  <c r="H4" i="5"/>
  <c r="F19" i="5"/>
  <c r="F6" i="13"/>
  <c r="G7" i="5"/>
  <c r="F7" i="5"/>
  <c r="G16" i="5"/>
  <c r="K10" i="5" l="1"/>
  <c r="D4" i="22"/>
  <c r="H12" i="5"/>
  <c r="H15" i="5" s="1"/>
  <c r="O12" i="5"/>
  <c r="O15" i="5" s="1"/>
  <c r="K12" i="5"/>
  <c r="K15" i="5" s="1"/>
  <c r="M12" i="5"/>
  <c r="M15" i="5" s="1"/>
  <c r="L12" i="5"/>
  <c r="L15" i="5" s="1"/>
  <c r="N12" i="5"/>
  <c r="N15" i="5" s="1"/>
  <c r="G20" i="5"/>
  <c r="G21" i="5" s="1"/>
  <c r="F12" i="5"/>
  <c r="F15" i="5" s="1"/>
  <c r="I12" i="5"/>
  <c r="I15" i="5" s="1"/>
  <c r="Q12" i="5"/>
  <c r="Q15" i="5" s="1"/>
  <c r="J12" i="5"/>
  <c r="J15" i="5" s="1"/>
  <c r="G12" i="5"/>
  <c r="G15" i="5" s="1"/>
  <c r="P12" i="5"/>
  <c r="P15" i="5" s="1"/>
  <c r="H13" i="5"/>
  <c r="H24" i="5" s="1"/>
  <c r="G11" i="5"/>
  <c r="F20" i="5"/>
  <c r="F21" i="5" s="1"/>
  <c r="F11" i="5"/>
  <c r="H11" i="5"/>
  <c r="E9" i="5"/>
  <c r="F22" i="5"/>
  <c r="J6" i="5"/>
  <c r="H7" i="5"/>
  <c r="H17" i="5"/>
  <c r="I4" i="5"/>
  <c r="I11" i="5"/>
  <c r="G6" i="13"/>
  <c r="G18" i="5"/>
  <c r="G22" i="5"/>
  <c r="G25" i="5" s="1"/>
  <c r="H16" i="5"/>
  <c r="F25" i="5" l="1"/>
  <c r="F26" i="5" s="1"/>
  <c r="G26" i="5"/>
  <c r="F5" i="13"/>
  <c r="F7" i="13" s="1"/>
  <c r="F10" i="13" s="1"/>
  <c r="F15" i="13" s="1"/>
  <c r="I13" i="5"/>
  <c r="I24" i="5" s="1"/>
  <c r="L10" i="5"/>
  <c r="F23" i="5"/>
  <c r="E5" i="13"/>
  <c r="E7" i="13" s="1"/>
  <c r="E10" i="13" s="1"/>
  <c r="E15" i="13" s="1"/>
  <c r="H20" i="5"/>
  <c r="H21" i="5" s="1"/>
  <c r="E12" i="5"/>
  <c r="J4" i="5"/>
  <c r="I7" i="5"/>
  <c r="K6" i="5"/>
  <c r="I17" i="5"/>
  <c r="J17" i="5" s="1"/>
  <c r="G19" i="5"/>
  <c r="H6" i="13"/>
  <c r="J11" i="5"/>
  <c r="I16" i="5"/>
  <c r="H22" i="5"/>
  <c r="H25" i="5" s="1"/>
  <c r="H18" i="5"/>
  <c r="H19" i="5" s="1"/>
  <c r="E5" i="17" l="1"/>
  <c r="E6" i="17" s="1"/>
  <c r="E8" i="17" s="1"/>
  <c r="E11" i="17" s="1"/>
  <c r="H26" i="5"/>
  <c r="G5" i="13"/>
  <c r="G7" i="13" s="1"/>
  <c r="G10" i="13" s="1"/>
  <c r="G15" i="13" s="1"/>
  <c r="J13" i="5"/>
  <c r="J24" i="5" s="1"/>
  <c r="M10" i="5"/>
  <c r="D5" i="13"/>
  <c r="D7" i="13" s="1"/>
  <c r="D10" i="13" s="1"/>
  <c r="D15" i="13" s="1"/>
  <c r="D5" i="17"/>
  <c r="D6" i="17" s="1"/>
  <c r="D8" i="17" s="1"/>
  <c r="D11" i="17" s="1"/>
  <c r="C5" i="17"/>
  <c r="C6" i="17" s="1"/>
  <c r="C8" i="17" s="1"/>
  <c r="C11" i="17" s="1"/>
  <c r="H23" i="5"/>
  <c r="K4" i="5"/>
  <c r="J7" i="5"/>
  <c r="I20" i="5"/>
  <c r="I21" i="5" s="1"/>
  <c r="L6" i="5"/>
  <c r="I22" i="5"/>
  <c r="I25" i="5" s="1"/>
  <c r="G23" i="5"/>
  <c r="I6" i="13"/>
  <c r="K11" i="5"/>
  <c r="I18" i="5"/>
  <c r="J16" i="5"/>
  <c r="J22" i="5" s="1"/>
  <c r="J25" i="5" s="1"/>
  <c r="K17" i="5"/>
  <c r="J20" i="5"/>
  <c r="I26" i="5" l="1"/>
  <c r="F5" i="17"/>
  <c r="F6" i="17" s="1"/>
  <c r="F8" i="17" s="1"/>
  <c r="F11" i="17" s="1"/>
  <c r="J26" i="5"/>
  <c r="K13" i="5"/>
  <c r="K24" i="5" s="1"/>
  <c r="N10" i="5"/>
  <c r="L4" i="5"/>
  <c r="K7" i="5"/>
  <c r="M6" i="5"/>
  <c r="J21" i="5"/>
  <c r="I19" i="5"/>
  <c r="J6" i="13"/>
  <c r="L11" i="5"/>
  <c r="K16" i="5"/>
  <c r="L16" i="5" s="1"/>
  <c r="J18" i="5"/>
  <c r="J19" i="5" s="1"/>
  <c r="L17" i="5"/>
  <c r="K20" i="5"/>
  <c r="K21" i="5" s="1"/>
  <c r="H5" i="13" l="1"/>
  <c r="H7" i="13" s="1"/>
  <c r="H10" i="13" s="1"/>
  <c r="H15" i="13" s="1"/>
  <c r="G5" i="17"/>
  <c r="G6" i="17" s="1"/>
  <c r="G8" i="17" s="1"/>
  <c r="G11" i="17" s="1"/>
  <c r="L13" i="5"/>
  <c r="L24" i="5" s="1"/>
  <c r="O10" i="5"/>
  <c r="L7" i="5"/>
  <c r="M4" i="5"/>
  <c r="N6" i="5"/>
  <c r="J23" i="5"/>
  <c r="I23" i="5"/>
  <c r="K6" i="13"/>
  <c r="M11" i="5"/>
  <c r="K22" i="5"/>
  <c r="K25" i="5" s="1"/>
  <c r="K18" i="5"/>
  <c r="K19" i="5" s="1"/>
  <c r="K23" i="5" s="1"/>
  <c r="L22" i="5"/>
  <c r="L25" i="5" s="1"/>
  <c r="M16" i="5"/>
  <c r="L18" i="5"/>
  <c r="L19" i="5" s="1"/>
  <c r="M17" i="5"/>
  <c r="L20" i="5"/>
  <c r="L21" i="5" s="1"/>
  <c r="K26" i="5" l="1"/>
  <c r="L26" i="5"/>
  <c r="H5" i="17"/>
  <c r="H6" i="17" s="1"/>
  <c r="H8" i="17" s="1"/>
  <c r="H11" i="17" s="1"/>
  <c r="I5" i="13"/>
  <c r="I7" i="13" s="1"/>
  <c r="I10" i="13" s="1"/>
  <c r="I15" i="13" s="1"/>
  <c r="N4" i="5"/>
  <c r="N7" i="5" s="1"/>
  <c r="P10" i="5"/>
  <c r="M7" i="5"/>
  <c r="M13" i="5"/>
  <c r="M24" i="5" s="1"/>
  <c r="O6" i="5"/>
  <c r="N11" i="5"/>
  <c r="L6" i="13"/>
  <c r="L23" i="5"/>
  <c r="M22" i="5"/>
  <c r="M25" i="5" s="1"/>
  <c r="N17" i="5"/>
  <c r="M20" i="5"/>
  <c r="N16" i="5"/>
  <c r="M18" i="5"/>
  <c r="M19" i="5" s="1"/>
  <c r="N13" i="5" l="1"/>
  <c r="N24" i="5" s="1"/>
  <c r="M26" i="5"/>
  <c r="J5" i="13"/>
  <c r="J7" i="13" s="1"/>
  <c r="J10" i="13" s="1"/>
  <c r="J15" i="13" s="1"/>
  <c r="I5" i="17"/>
  <c r="I6" i="17" s="1"/>
  <c r="I8" i="17" s="1"/>
  <c r="I11" i="17" s="1"/>
  <c r="K5" i="17"/>
  <c r="K6" i="17" s="1"/>
  <c r="K8" i="17" s="1"/>
  <c r="K11" i="17" s="1"/>
  <c r="L5" i="13"/>
  <c r="L7" i="13" s="1"/>
  <c r="L10" i="13" s="1"/>
  <c r="L15" i="13" s="1"/>
  <c r="O4" i="5"/>
  <c r="O7" i="5" s="1"/>
  <c r="Q10" i="5"/>
  <c r="P6" i="5"/>
  <c r="M21" i="5"/>
  <c r="M23" i="5" s="1"/>
  <c r="O11" i="5"/>
  <c r="M6" i="13"/>
  <c r="N22" i="5"/>
  <c r="N25" i="5" s="1"/>
  <c r="O17" i="5"/>
  <c r="N20" i="5"/>
  <c r="N21" i="5" s="1"/>
  <c r="O16" i="5"/>
  <c r="N18" i="5"/>
  <c r="N19" i="5" s="1"/>
  <c r="N26" i="5" l="1"/>
  <c r="J5" i="17"/>
  <c r="J6" i="17" s="1"/>
  <c r="J8" i="17" s="1"/>
  <c r="J11" i="17" s="1"/>
  <c r="K5" i="13"/>
  <c r="K7" i="13" s="1"/>
  <c r="K10" i="13" s="1"/>
  <c r="K15" i="13" s="1"/>
  <c r="O13" i="5"/>
  <c r="O24" i="5" s="1"/>
  <c r="P4" i="5"/>
  <c r="P7" i="5" s="1"/>
  <c r="E10" i="5"/>
  <c r="Q6" i="5"/>
  <c r="N6" i="13"/>
  <c r="P11" i="5"/>
  <c r="O22" i="5"/>
  <c r="O25" i="5" s="1"/>
  <c r="N23" i="5"/>
  <c r="P16" i="5"/>
  <c r="O18" i="5"/>
  <c r="O19" i="5" s="1"/>
  <c r="P17" i="5"/>
  <c r="Q17" i="5" s="1"/>
  <c r="O20" i="5"/>
  <c r="O21" i="5" s="1"/>
  <c r="E6" i="5" l="1"/>
  <c r="P13" i="5"/>
  <c r="P24" i="5" s="1"/>
  <c r="O26" i="5"/>
  <c r="Q4" i="5"/>
  <c r="Q7" i="5" s="1"/>
  <c r="E8" i="5"/>
  <c r="Q20" i="5"/>
  <c r="Q21" i="5" s="1"/>
  <c r="E17" i="5"/>
  <c r="D22" i="22" s="1"/>
  <c r="Q16" i="5"/>
  <c r="E16" i="5" s="1"/>
  <c r="D21" i="22" s="1"/>
  <c r="Q11" i="5"/>
  <c r="D18" i="22" s="1"/>
  <c r="O6" i="13"/>
  <c r="P20" i="5"/>
  <c r="P21" i="5" s="1"/>
  <c r="P18" i="5"/>
  <c r="P22" i="5"/>
  <c r="P25" i="5" s="1"/>
  <c r="O23" i="5"/>
  <c r="D23" i="22" l="1"/>
  <c r="P26" i="5"/>
  <c r="M5" i="13"/>
  <c r="L5" i="17"/>
  <c r="L6" i="17" s="1"/>
  <c r="L8" i="17" s="1"/>
  <c r="L11" i="17" s="1"/>
  <c r="Q13" i="5"/>
  <c r="Q24" i="5" s="1"/>
  <c r="E4" i="5"/>
  <c r="D25" i="22"/>
  <c r="E7" i="5"/>
  <c r="D16" i="22"/>
  <c r="E11" i="5"/>
  <c r="E20" i="5"/>
  <c r="Q22" i="5"/>
  <c r="Q25" i="5" s="1"/>
  <c r="Q18" i="5"/>
  <c r="P19" i="5"/>
  <c r="E13" i="5" l="1"/>
  <c r="N5" i="13"/>
  <c r="M5" i="17"/>
  <c r="M6" i="17" s="1"/>
  <c r="M8" i="17" s="1"/>
  <c r="M11" i="17" s="1"/>
  <c r="M7" i="13"/>
  <c r="M10" i="13" s="1"/>
  <c r="M15" i="13" s="1"/>
  <c r="E24" i="5"/>
  <c r="E22" i="5"/>
  <c r="Q19" i="5"/>
  <c r="E18" i="5"/>
  <c r="P23" i="5"/>
  <c r="Q26" i="5" l="1"/>
  <c r="O5" i="13"/>
  <c r="N5" i="17"/>
  <c r="N6" i="17" s="1"/>
  <c r="N8" i="17" s="1"/>
  <c r="N11" i="17" s="1"/>
  <c r="E15" i="5"/>
  <c r="N7" i="13"/>
  <c r="N10" i="13" s="1"/>
  <c r="N15" i="13" s="1"/>
  <c r="E25" i="5"/>
  <c r="E26" i="5" s="1"/>
  <c r="Q23" i="5"/>
  <c r="E23" i="5" s="1"/>
  <c r="D24" i="22"/>
  <c r="D27" i="22" s="1"/>
  <c r="O7" i="13" l="1"/>
  <c r="O10" i="13" s="1"/>
  <c r="O15" i="13" s="1"/>
  <c r="D7" i="22"/>
  <c r="D8" i="22" s="1"/>
  <c r="D26" i="22"/>
  <c r="E7" i="10" l="1"/>
  <c r="E18" i="11"/>
  <c r="E22" i="11" l="1"/>
  <c r="C3" i="14" l="1"/>
  <c r="C9" i="13"/>
  <c r="C10" i="13" s="1"/>
  <c r="C15" i="13" s="1"/>
  <c r="E6" i="10"/>
  <c r="E5" i="10"/>
  <c r="C19" i="13" l="1"/>
  <c r="C30" i="13" s="1"/>
  <c r="C24" i="13"/>
  <c r="C16" i="13"/>
  <c r="D16" i="13" s="1"/>
  <c r="E16" i="13" s="1"/>
  <c r="F16" i="13" s="1"/>
  <c r="G16" i="13" s="1"/>
  <c r="H16" i="13" s="1"/>
  <c r="I16" i="13" s="1"/>
  <c r="J16" i="13" s="1"/>
  <c r="K16" i="13" s="1"/>
  <c r="L16" i="13" s="1"/>
  <c r="M16" i="13" s="1"/>
  <c r="N16" i="13" s="1"/>
  <c r="O16" i="13" s="1"/>
  <c r="C5" i="14"/>
  <c r="C15" i="14"/>
  <c r="C25" i="14"/>
  <c r="C11" i="13" s="1"/>
  <c r="E8" i="10"/>
  <c r="C28" i="13" l="1"/>
  <c r="C32" i="13" s="1"/>
  <c r="C12" i="13"/>
  <c r="C9" i="14"/>
  <c r="C10" i="14" s="1"/>
  <c r="C20" i="14"/>
  <c r="C14" i="13"/>
  <c r="N11" i="14" l="1"/>
  <c r="M13" i="14"/>
  <c r="J13" i="14"/>
  <c r="E13" i="14"/>
  <c r="E11" i="14"/>
  <c r="H11" i="14"/>
  <c r="O11" i="14"/>
  <c r="L13" i="14"/>
  <c r="G11" i="14"/>
  <c r="F13" i="14"/>
  <c r="F11" i="14"/>
  <c r="K13" i="14"/>
  <c r="L11" i="14"/>
  <c r="O13" i="14"/>
  <c r="J11" i="14"/>
  <c r="K11" i="14"/>
  <c r="D13" i="14"/>
  <c r="H13" i="14"/>
  <c r="H12" i="14" s="1"/>
  <c r="H17" i="13" s="1"/>
  <c r="N13" i="14"/>
  <c r="M11" i="14"/>
  <c r="I13" i="14"/>
  <c r="D11" i="14"/>
  <c r="G13" i="14"/>
  <c r="I11" i="14"/>
  <c r="D20" i="22"/>
  <c r="M33" i="13"/>
  <c r="O33" i="13"/>
  <c r="N33" i="13"/>
  <c r="N23" i="14"/>
  <c r="L23" i="14"/>
  <c r="J23" i="14"/>
  <c r="J21" i="14"/>
  <c r="F23" i="14"/>
  <c r="G21" i="14"/>
  <c r="M23" i="14"/>
  <c r="G23" i="14"/>
  <c r="I21" i="14"/>
  <c r="E23" i="14"/>
  <c r="O21" i="14"/>
  <c r="N12" i="17" s="1"/>
  <c r="N14" i="17" s="1"/>
  <c r="N15" i="17" s="1"/>
  <c r="K21" i="14"/>
  <c r="J12" i="17" s="1"/>
  <c r="J14" i="17" s="1"/>
  <c r="L21" i="14"/>
  <c r="K12" i="17" s="1"/>
  <c r="K14" i="17" s="1"/>
  <c r="H21" i="14"/>
  <c r="G12" i="17" s="1"/>
  <c r="G14" i="17" s="1"/>
  <c r="E21" i="14"/>
  <c r="F21" i="14"/>
  <c r="N21" i="14"/>
  <c r="I23" i="14"/>
  <c r="H23" i="14"/>
  <c r="K23" i="14"/>
  <c r="K22" i="14" s="1"/>
  <c r="K18" i="13" s="1"/>
  <c r="D23" i="14"/>
  <c r="D21" i="14"/>
  <c r="O23" i="14"/>
  <c r="O22" i="14" s="1"/>
  <c r="O18" i="13" s="1"/>
  <c r="M21" i="14"/>
  <c r="L12" i="17" s="1"/>
  <c r="L14" i="17" s="1"/>
  <c r="C33" i="13"/>
  <c r="H22" i="14" l="1"/>
  <c r="H18" i="13" s="1"/>
  <c r="H24" i="13" s="1"/>
  <c r="D12" i="17"/>
  <c r="D14" i="17" s="1"/>
  <c r="D17" i="17" s="1"/>
  <c r="G12" i="14"/>
  <c r="G17" i="13" s="1"/>
  <c r="N12" i="14"/>
  <c r="N17" i="13" s="1"/>
  <c r="F12" i="17"/>
  <c r="F14" i="17" s="1"/>
  <c r="E12" i="17"/>
  <c r="E14" i="17" s="1"/>
  <c r="E15" i="17" s="1"/>
  <c r="J22" i="14"/>
  <c r="J18" i="13" s="1"/>
  <c r="H12" i="17"/>
  <c r="H14" i="17" s="1"/>
  <c r="H17" i="17" s="1"/>
  <c r="I12" i="17"/>
  <c r="I14" i="17" s="1"/>
  <c r="I17" i="17" s="1"/>
  <c r="N17" i="17"/>
  <c r="I22" i="14"/>
  <c r="I18" i="13" s="1"/>
  <c r="G22" i="14"/>
  <c r="G18" i="13" s="1"/>
  <c r="O12" i="14"/>
  <c r="O17" i="13" s="1"/>
  <c r="O24" i="13" s="1"/>
  <c r="I12" i="14"/>
  <c r="I17" i="13" s="1"/>
  <c r="L17" i="17"/>
  <c r="L15" i="17"/>
  <c r="J17" i="17"/>
  <c r="J15" i="17"/>
  <c r="K12" i="14"/>
  <c r="K17" i="13" s="1"/>
  <c r="K24" i="13" s="1"/>
  <c r="L12" i="14"/>
  <c r="L17" i="13" s="1"/>
  <c r="E12" i="14"/>
  <c r="E17" i="13" s="1"/>
  <c r="M22" i="14"/>
  <c r="M18" i="13" s="1"/>
  <c r="J12" i="14"/>
  <c r="J17" i="13" s="1"/>
  <c r="C12" i="17"/>
  <c r="C14" i="17" s="1"/>
  <c r="C21" i="14"/>
  <c r="G15" i="17"/>
  <c r="G17" i="17"/>
  <c r="E22" i="14"/>
  <c r="E18" i="13" s="1"/>
  <c r="L22" i="14"/>
  <c r="L18" i="13" s="1"/>
  <c r="C11" i="14"/>
  <c r="F12" i="14"/>
  <c r="F17" i="13" s="1"/>
  <c r="M12" i="14"/>
  <c r="M17" i="13" s="1"/>
  <c r="D22" i="14"/>
  <c r="C23" i="14"/>
  <c r="M12" i="17"/>
  <c r="M14" i="17" s="1"/>
  <c r="K17" i="17"/>
  <c r="K15" i="17"/>
  <c r="F22" i="14"/>
  <c r="F18" i="13" s="1"/>
  <c r="N22" i="14"/>
  <c r="N18" i="13" s="1"/>
  <c r="D12" i="14"/>
  <c r="C13" i="14"/>
  <c r="I32" i="13"/>
  <c r="I33" i="13" s="1"/>
  <c r="H32" i="13"/>
  <c r="H33" i="13" s="1"/>
  <c r="H19" i="13" l="1"/>
  <c r="G19" i="13"/>
  <c r="I15" i="17"/>
  <c r="D15" i="17"/>
  <c r="F17" i="17"/>
  <c r="F15" i="17"/>
  <c r="E17" i="17"/>
  <c r="M24" i="13"/>
  <c r="H15" i="17"/>
  <c r="F19" i="13"/>
  <c r="C12" i="14"/>
  <c r="I19" i="13"/>
  <c r="G24" i="13"/>
  <c r="O19" i="13"/>
  <c r="I24" i="13"/>
  <c r="E19" i="13"/>
  <c r="K19" i="13"/>
  <c r="F32" i="13"/>
  <c r="F33" i="13" s="1"/>
  <c r="N19" i="13"/>
  <c r="N24" i="13"/>
  <c r="G32" i="13"/>
  <c r="G33" i="13" s="1"/>
  <c r="D17" i="13"/>
  <c r="J19" i="13"/>
  <c r="J24" i="13"/>
  <c r="C22" i="14"/>
  <c r="D18" i="13"/>
  <c r="M19" i="13"/>
  <c r="M17" i="17"/>
  <c r="M15" i="17"/>
  <c r="L24" i="13"/>
  <c r="L19" i="13"/>
  <c r="L32" i="13" s="1"/>
  <c r="L33" i="13" s="1"/>
  <c r="E24" i="13"/>
  <c r="F24" i="13"/>
  <c r="C15" i="17"/>
  <c r="C17" i="17"/>
  <c r="D19" i="13" l="1"/>
  <c r="C26" i="13" s="1"/>
  <c r="D30" i="13"/>
  <c r="E30" i="13" s="1"/>
  <c r="F30" i="13" s="1"/>
  <c r="G30" i="13" s="1"/>
  <c r="H30" i="13" s="1"/>
  <c r="I30" i="13" s="1"/>
  <c r="J30" i="13" s="1"/>
  <c r="K30" i="13" s="1"/>
  <c r="L30" i="13" s="1"/>
  <c r="M30" i="13" s="1"/>
  <c r="N30" i="13" s="1"/>
  <c r="O30" i="13" s="1"/>
  <c r="O20" i="13" s="1"/>
  <c r="D24" i="13"/>
  <c r="C37" i="13" s="1"/>
  <c r="D12" i="22" s="1"/>
  <c r="J32" i="13"/>
  <c r="J33" i="13" s="1"/>
  <c r="K32" i="13"/>
  <c r="K33" i="13" s="1"/>
  <c r="D32" i="13"/>
  <c r="D33" i="13" s="1"/>
  <c r="D11" i="22"/>
  <c r="E32" i="13"/>
  <c r="E33" i="13" s="1"/>
  <c r="C25" i="13" l="1"/>
  <c r="D10" i="22" s="1"/>
  <c r="C36" i="13"/>
  <c r="D13" i="22" s="1"/>
</calcChain>
</file>

<file path=xl/comments1.xml><?xml version="1.0" encoding="utf-8"?>
<comments xmlns="http://schemas.openxmlformats.org/spreadsheetml/2006/main">
  <authors>
    <author>User</author>
  </authors>
  <commentList>
    <comment ref="J19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Ενδεικτικό</t>
        </r>
      </text>
    </comment>
  </commentList>
</comments>
</file>

<file path=xl/comments2.xml><?xml version="1.0" encoding="utf-8"?>
<comments xmlns="http://schemas.openxmlformats.org/spreadsheetml/2006/main">
  <authors>
    <author>TEC SA</author>
  </authors>
  <commentList>
    <comment ref="G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αυξομείωση του επιπέδου φωτεινότητας 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<sst xmlns="http://schemas.openxmlformats.org/spreadsheetml/2006/main" count="336" uniqueCount="237">
  <si>
    <t>ΣΥΝΟΛΟ</t>
  </si>
  <si>
    <t>€</t>
  </si>
  <si>
    <t>KWh</t>
  </si>
  <si>
    <t>tonnes</t>
  </si>
  <si>
    <t>Τεμάχια</t>
  </si>
  <si>
    <t>Κόστος kWh των ΟΤΑ (€/kWh)</t>
  </si>
  <si>
    <t>Σύνολο</t>
  </si>
  <si>
    <t xml:space="preserve">Κόστος Προσωπικου </t>
  </si>
  <si>
    <t>tCO2</t>
  </si>
  <si>
    <t>Συνολο</t>
  </si>
  <si>
    <t>ΤΙΜΗ ΜΟΝΑΔΑΣ</t>
  </si>
  <si>
    <t>ΤΕΜΑΧΙΑ</t>
  </si>
  <si>
    <t xml:space="preserve">ΣΥΝΟΛΙΚΟ ΚΟΣΤΟΣ </t>
  </si>
  <si>
    <t xml:space="preserve">Προτεινόμενες  Ώρες Λειτουργίας </t>
  </si>
  <si>
    <t>Ώρες / Μέρα</t>
  </si>
  <si>
    <t>Συνολικές Ώρες</t>
  </si>
  <si>
    <t>Ποσοστό Λειτουργίας Λαμπτήρα</t>
  </si>
  <si>
    <t>CO2 / KWh</t>
  </si>
  <si>
    <t>kgr CO2</t>
  </si>
  <si>
    <t>Έτος λειτουργίας</t>
  </si>
  <si>
    <t>Ταμειακές Ροές (€,000)</t>
  </si>
  <si>
    <t>Αποτέλεσμα Λειτουργίας (ΕBITDA) (3) = (1) - (2)</t>
  </si>
  <si>
    <t>Φόροι (4)</t>
  </si>
  <si>
    <t>Απαιτούμενη επένδυση (5)</t>
  </si>
  <si>
    <t>Καθαρή Ταμειακή Ροή Έργου (6) = (3) – (4) – (5)</t>
  </si>
  <si>
    <t xml:space="preserve"> Ίδια Συμμετοχή (7)</t>
  </si>
  <si>
    <t>Επιχορήγηση (9)</t>
  </si>
  <si>
    <t>Καθαρή Ταμειακή Ροή προ εξυπηρέτησης Δανεισμού (11) = (6) + (7) + (8) + (9) + (10)</t>
  </si>
  <si>
    <t xml:space="preserve">Καθαρή Ταμειακή Ροή (14) = (11) - (12) – (13) </t>
  </si>
  <si>
    <t>MIRR</t>
  </si>
  <si>
    <t>IRR Έργου (16) = IRR(6)</t>
  </si>
  <si>
    <t>τιμες για IRR ίδιας συμμετοχής</t>
  </si>
  <si>
    <t>Περίοδος Ανάκτησης Επένδυσης (Payback Period) (18)</t>
  </si>
  <si>
    <t>ROIC (19)</t>
  </si>
  <si>
    <t xml:space="preserve">Περιβαλλοντολογική Εξοικονόμηση </t>
  </si>
  <si>
    <t>Ενέργεια</t>
  </si>
  <si>
    <t xml:space="preserve">tCO2 emissions </t>
  </si>
  <si>
    <t>%</t>
  </si>
  <si>
    <t>ΠΡΟΥΠΟΛΟΓΙΣΜΟΣ  ΕΡΓΟΥ</t>
  </si>
  <si>
    <t>ΑΡΧΙΚΟ ΠΟΣΟ ΔΑΝΕΙΟΥ</t>
  </si>
  <si>
    <t>ΕΤΗ ΕΞΟΦΛΗΣΗΣ</t>
  </si>
  <si>
    <t>ΕΤΗ ΧΑΡΙΤΟΣ</t>
  </si>
  <si>
    <t>ΕΠΙΤΟΚΙΟ</t>
  </si>
  <si>
    <t>ΤΟΚΟΙ ΠΕΡΙΟΔΟΥ ΧΑΡΙΤΟΣ</t>
  </si>
  <si>
    <t>ΠΟΣΟ ΔΑΝΕΙΟΥ ΜΕ ΚΕΦΑΛΑΙΟΠΟΙΗΣΗ ΤΟΚΩΝ</t>
  </si>
  <si>
    <t>TOKOI</t>
  </si>
  <si>
    <t>ΚΕΦΑΛΑΙΟ</t>
  </si>
  <si>
    <t>ΤΟΚΟΧΡΕΩΛΥΣΙΟ</t>
  </si>
  <si>
    <t>Σχήμα Χρηματοδότησης</t>
  </si>
  <si>
    <t>Εμπορικό δάνειο</t>
  </si>
  <si>
    <t>Ίδια συμμετοχή</t>
  </si>
  <si>
    <t>€/kWh</t>
  </si>
  <si>
    <t>Ρυθμοι Εξελιξης</t>
  </si>
  <si>
    <t>Φορολογία</t>
  </si>
  <si>
    <t xml:space="preserve">Επιτόκιο </t>
  </si>
  <si>
    <t>(+ )%</t>
  </si>
  <si>
    <t xml:space="preserve">Πραγματική Κατανάλωση Λαμπτήρα </t>
  </si>
  <si>
    <t xml:space="preserve">ΠΟΣΟ </t>
  </si>
  <si>
    <t xml:space="preserve">ΙΔΙΑ ΣΥΜΜΕΤΟΧΗ </t>
  </si>
  <si>
    <t xml:space="preserve">Λειτουργικα Κοστη (2) </t>
  </si>
  <si>
    <t>Συνολικοί Τόνοι CO2 -  Υφιστάμενη</t>
  </si>
  <si>
    <t>Συνολικοί Τόνοι CO2 -  Προτεινόμενη</t>
  </si>
  <si>
    <t>Μονάδα Μέτρησης</t>
  </si>
  <si>
    <t xml:space="preserve">Σύνολο </t>
  </si>
  <si>
    <t>kWh</t>
  </si>
  <si>
    <t>Συσσωρευμένες Ταμειακές Ροές</t>
  </si>
  <si>
    <t>Συσσωρευμένο EBIDA</t>
  </si>
  <si>
    <t xml:space="preserve">Περίοδος Αποπληρωμής (post financing) </t>
  </si>
  <si>
    <t>Average ROIC</t>
  </si>
  <si>
    <t>Average DSCR</t>
  </si>
  <si>
    <t>Απρόβλεπτα</t>
  </si>
  <si>
    <t>Πραγματικό Σύνολο</t>
  </si>
  <si>
    <t>n/a</t>
  </si>
  <si>
    <t>Συντελεστης Φορολόγησης (ΦΠΑ)</t>
  </si>
  <si>
    <t xml:space="preserve"> ΤΑΜΕΙΑΚΕΣ ΡΟΕΣ</t>
  </si>
  <si>
    <t>ΤΕΛΙΚΟ ΣΥΝΟΛΟ ΜΕ ΦΠΑ</t>
  </si>
  <si>
    <t>Project IRR</t>
  </si>
  <si>
    <t>Equity IRR</t>
  </si>
  <si>
    <t>#</t>
  </si>
  <si>
    <t>Κύκλος Εργασιών</t>
  </si>
  <si>
    <t>Σύνολο Κύκλου Εργασιών</t>
  </si>
  <si>
    <t>Μείον: Κόστος Πωληθέντων</t>
  </si>
  <si>
    <t>Μικτά Αποτελέσματα</t>
  </si>
  <si>
    <t>Μείον: Λειτουργικά Έξοδα</t>
  </si>
  <si>
    <t>Πλέον: Άλλα Έσοδα Εκμετάλλευσης</t>
  </si>
  <si>
    <t>Λειτουργικό Αποτέλεσμα (EBITDA)</t>
  </si>
  <si>
    <t>Μείον: Χρεωστικοί Τόκοι</t>
  </si>
  <si>
    <t>Πλέον: Πιστωτικοί Τόκοι</t>
  </si>
  <si>
    <t>Αποτελέσματα προ Αποσβέσεων, Φόρων</t>
  </si>
  <si>
    <t>EBTDA % KE</t>
  </si>
  <si>
    <t>Μείον: Αποσβέσεις</t>
  </si>
  <si>
    <t>Αποτελέσματα προ Φόρων</t>
  </si>
  <si>
    <t xml:space="preserve">ΚΑΤΑΣΤΑΣΗ ΑΠΟΤΕΛΕΣΜΑΤΩΝ </t>
  </si>
  <si>
    <t>Σύνολο Λαμπτήρων</t>
  </si>
  <si>
    <t>ΕΤΗΣΙΟ ΕΝΕΡΓΕΙΑΚΟ ΟΦΕΛΟΣ (KWh):</t>
  </si>
  <si>
    <t>ΕΤΗΣΙΟ ΟΙΚΟΝΟΜΙΚΟ ΟΦΕΛΟΣ (€):</t>
  </si>
  <si>
    <t>Λαμπτήρας σε πλήρη λειτουργία</t>
  </si>
  <si>
    <t xml:space="preserve">Πραγματικές ώρες/ημέρα   </t>
  </si>
  <si>
    <t>Παράμετροι Χρηματοδότησης</t>
  </si>
  <si>
    <t>Σταθερές Παράμετροι</t>
  </si>
  <si>
    <r>
      <t>CO</t>
    </r>
    <r>
      <rPr>
        <sz val="8"/>
        <color theme="1"/>
        <rFont val="Calibri"/>
        <family val="2"/>
        <charset val="161"/>
        <scheme val="minor"/>
      </rPr>
      <t>2</t>
    </r>
  </si>
  <si>
    <t>Ισχύς (WATT)</t>
  </si>
  <si>
    <t>Μονάδα</t>
  </si>
  <si>
    <t>Τιμή</t>
  </si>
  <si>
    <t>Εξοικονόμηση</t>
  </si>
  <si>
    <t>Ωράριο</t>
  </si>
  <si>
    <t>Λειτουργία Χειμώνα</t>
  </si>
  <si>
    <t>Λειτουργία Καλοκαίρι</t>
  </si>
  <si>
    <t>Dimming Setting</t>
  </si>
  <si>
    <t>Πλήθος</t>
  </si>
  <si>
    <t>Ισχύς</t>
  </si>
  <si>
    <t>έτη</t>
  </si>
  <si>
    <t>Watt</t>
  </si>
  <si>
    <t xml:space="preserve">Υφιστάμενο Δίκτυο </t>
  </si>
  <si>
    <t>ΣΥΝΟΛΙΚΟ ΕΤΗΣΙΟ ΟΦΕΛΟΣ:</t>
  </si>
  <si>
    <t>Ανεξάρτητος Σύμβουλος</t>
  </si>
  <si>
    <t>ΕΤΗ:</t>
  </si>
  <si>
    <t>Ταμειακές Ροές/ Προυπολογισμός Παραχώρησης</t>
  </si>
  <si>
    <t>Εξοικονόμηση Ενέργειας σε</t>
  </si>
  <si>
    <t>Υπηρεσίες Ενεργειακής Αναβάθμισης</t>
  </si>
  <si>
    <t>Έξοδα Προτεινόμενου Έργου (LED)</t>
  </si>
  <si>
    <t>Κόστος Carbon(CO2)</t>
  </si>
  <si>
    <t xml:space="preserve">Έξοδα Συντήρησης </t>
  </si>
  <si>
    <t>Κόστος Κατανάλωσης Ενέργειας  (NEW)</t>
  </si>
  <si>
    <t>Άλλα Λειτουργικά Έξοδα</t>
  </si>
  <si>
    <t>Συνολικά Κόστη</t>
  </si>
  <si>
    <t>Ανεξάρτητος Σύμβουλος (12ετία)</t>
  </si>
  <si>
    <t xml:space="preserve"> </t>
  </si>
  <si>
    <t>Περίοδος Αποπληρωμής (pre financing)</t>
  </si>
  <si>
    <t>Εξοικονόμηση Δήμου (1)</t>
  </si>
  <si>
    <t>Εξοικονόμηση Εξόδων Συντήρησης
σε Δήμο από Λειτουργικά</t>
  </si>
  <si>
    <t>Εξοικονόμηση Δήμου (2)</t>
  </si>
  <si>
    <t>Εξοικονόμηση Εξόδων Συντήρησης
σε Δήμο από Φόρους &amp; Τέλη</t>
  </si>
  <si>
    <t>Σύνολο Εξοικονόμησης
Δήμου (1+2)</t>
  </si>
  <si>
    <t>Άθροισμα Εξοικονόμησης 
Επένδυσης σε Δήμο</t>
  </si>
  <si>
    <t>ΧΡΗΜΑΤΟΟΙΚΟΝΟΜΙΚΗ ΑΝΑΛΥΣΗ</t>
  </si>
  <si>
    <t xml:space="preserve">Ώρες Λειτουργίας στα Γήπεδα </t>
  </si>
  <si>
    <t>Προυπολογισμός  (12ετία) πλέον ΦΠΑ</t>
  </si>
  <si>
    <t>Μείωση Ρύπων Υφιστάμενη / Προτεινόμενη</t>
  </si>
  <si>
    <t>Μείωση Ρύπων Συνολικά</t>
  </si>
  <si>
    <t>Ενεργειακή Μείωση (ΜΟ 12 Έτη)</t>
  </si>
  <si>
    <t>Κατανάλωση Ενέργειας Προτεινόμενης Κατάστασης</t>
  </si>
  <si>
    <t>Κατανάλωση Ενέργειας Υφιστάμενης Κατάστασης</t>
  </si>
  <si>
    <t>NPV Κόστους Προτεινόμενης Κατάστασης - LED 
(αντικαταστάσεις, λειτουργικά έξοδα, κλπ)</t>
  </si>
  <si>
    <t>NPV Κόστους Υφιστάμενης Κατάστασης 
 (αντικαταστάσεις , λειτουργικά έξοδα, κλπ)</t>
  </si>
  <si>
    <t>Μέσος όρος (ΜΟ), κατ' έτος</t>
  </si>
  <si>
    <t>Χρηματοοικονομικό Μοντέλο για την Ενεργειακή Αναβάθμιση και Αυτοματοποίηση Συστημάτων Ηλεκτροφωτισμού των Κοινοχρήστων Χώρων (Οδοφωτισμός)</t>
  </si>
  <si>
    <t>Δάνειο Πρόγραμμα</t>
  </si>
  <si>
    <t xml:space="preserve">ΣΥΝΟΛΟ </t>
  </si>
  <si>
    <t>ΠΑΓΙΕΣ ΕΤΗΣΙΕΣ ΔΑΠΑΝΕΣ ΣΥΝΤΗΡΗΣΗΣ ΣΥΜΒΑΤΙΚΟΥ ΣΥΣΤΗΜΑΤΟΣ</t>
  </si>
  <si>
    <t>ΠΑΓΙΕΣ ΕΤΗΣΙΕΣ  ΔΑΠΑΝΕΣ ΣΥΝΤΗΡΗΣΗΣ  ΝΕΟΥ ΣΥΣΤΗΜΑΤΟΣ</t>
  </si>
  <si>
    <t>Τύπος Λαμπτήρα / Φωτιστικού</t>
  </si>
  <si>
    <t xml:space="preserve">Τύπος </t>
  </si>
  <si>
    <t>Τιμή Μονάδας</t>
  </si>
  <si>
    <t>Ενδεικτικά Κόστη Προτεινόμενων 
Λαμπήρων / 
Φωτιστικών</t>
  </si>
  <si>
    <t>Κόστος kWh ΟΤΑ</t>
  </si>
  <si>
    <t>Ετήσιος Ρυθμός Αύξησης Εξόδων Συντήρησης</t>
  </si>
  <si>
    <t>Ετήσιος Ρυθμός Λειτουργικών Εξόδων Συντήρησης</t>
  </si>
  <si>
    <t>Ετήσιος Ρυθμός Κατανάλωσης Ενέργειας</t>
  </si>
  <si>
    <t xml:space="preserve">Περιβαλλοντολογικοί Δείκτες </t>
  </si>
  <si>
    <t>Συντελεστής Εκπομπών CO2</t>
  </si>
  <si>
    <t>Πραγματική Κατανάλωση (WATT)</t>
  </si>
  <si>
    <t>Συνολική Κατανάλωση 
/ Ώρα</t>
  </si>
  <si>
    <t>Συνολική Ημερήσια 
Κατανάλωση KW/h</t>
  </si>
  <si>
    <t>Συνολική Ετήσια 
Κατανάλωση KW/h</t>
  </si>
  <si>
    <t>Συνολική Κατανάλωση KW σε 12 έτη</t>
  </si>
  <si>
    <t xml:space="preserve">ΛΑΜΠΤΗΡΕΣ /  ΦΩΤΙΣΤΙΚΑ
LED </t>
  </si>
  <si>
    <t xml:space="preserve">ΕΓΚΑΤΕΣΤΗΜΕΝΟΙ 
ΛΑΜΠΤΗΡΕΣ / ΦΩΤΙΣΤΙΚΑ
 ΠΑΛΑΙΟΥ ΤΥΠΟΥ </t>
  </si>
  <si>
    <t>ΤΕΛΙΚΟ ΣΥΝΟΛΟ  ΧΩΡΙΣ ΦΠΑ</t>
  </si>
  <si>
    <t>Υφιστάμενα Έξοδα Λειτουργίας</t>
  </si>
  <si>
    <t>Κόστος Κατανάλωσης Ενέργειας  (OLD)</t>
  </si>
  <si>
    <t>Ετήσια Εξοικονόμηση 
σε Έξοδα Συντήρησης σε</t>
  </si>
  <si>
    <t xml:space="preserve">Κατανάλωση Ενέργειας - Υφιστάμενη </t>
  </si>
  <si>
    <t xml:space="preserve">Κατανάλωση Ενέργειας - Προτεινόμενου Έργου </t>
  </si>
  <si>
    <r>
      <t>CO</t>
    </r>
    <r>
      <rPr>
        <vertAlign val="subscript"/>
        <sz val="9"/>
        <rFont val="Calibri"/>
        <family val="2"/>
        <charset val="161"/>
        <scheme val="minor"/>
      </rPr>
      <t>2</t>
    </r>
    <r>
      <rPr>
        <sz val="9"/>
        <rFont val="Calibri"/>
        <family val="2"/>
        <charset val="161"/>
        <scheme val="minor"/>
      </rPr>
      <t xml:space="preserve"> emissions - Υφιστάμενη </t>
    </r>
  </si>
  <si>
    <r>
      <t>CO</t>
    </r>
    <r>
      <rPr>
        <vertAlign val="subscript"/>
        <sz val="9"/>
        <rFont val="Calibri"/>
        <family val="2"/>
        <charset val="161"/>
        <scheme val="minor"/>
      </rPr>
      <t>2</t>
    </r>
    <r>
      <rPr>
        <sz val="9"/>
        <rFont val="Calibri"/>
        <family val="2"/>
        <charset val="161"/>
        <scheme val="minor"/>
      </rPr>
      <t xml:space="preserve"> emissions - Προτεινόμενου Έργου </t>
    </r>
  </si>
  <si>
    <t>Καταβολές ΦΠΑ Κατασκευής</t>
  </si>
  <si>
    <t>Δείκτης Κάλυψης Δανειακών Υποχρεώσεων (DSCR) (15) = (11) / (12+13)</t>
  </si>
  <si>
    <t>Έτος Λειτουργίας</t>
  </si>
  <si>
    <t xml:space="preserve">Συσσωρευμένες Ταμειακές Ροές πριν από την Εξυπηρέτηση του Δανείου </t>
  </si>
  <si>
    <t xml:space="preserve">Συνολική Δανειακή Επιβάρυνση  </t>
  </si>
  <si>
    <t>IRR Ίδιας Συμμετοχής (17) = IRR (Μερίσματα + Τόκοι &amp; Κεφάλαιο Δευτερεύοντος Χρέους - 7)</t>
  </si>
  <si>
    <t>Συγκεντρωτικά Αποτελέσματα</t>
  </si>
  <si>
    <t xml:space="preserve"> ΔΕΙΚΤΕΣ</t>
  </si>
  <si>
    <t>Αντικατάσταση με :</t>
  </si>
  <si>
    <t>Φωτιστικά / 
Λαμπτήρες</t>
  </si>
  <si>
    <t xml:space="preserve">Κόστος Starters - Ντουι </t>
  </si>
  <si>
    <t xml:space="preserve">Κόστος Λαμπτήρων </t>
  </si>
  <si>
    <t xml:space="preserve">Κόστος Αντικ/σης Σώματος </t>
  </si>
  <si>
    <t>Κόστος Προσωπικού</t>
  </si>
  <si>
    <r>
      <t>Τιμή / Τεμ (</t>
    </r>
    <r>
      <rPr>
        <b/>
        <sz val="8"/>
        <color theme="1"/>
        <rFont val="Calibri"/>
        <family val="2"/>
        <charset val="161"/>
      </rPr>
      <t>€)</t>
    </r>
  </si>
  <si>
    <t>Λοιπά Κόστη</t>
  </si>
  <si>
    <t>1 Έτος  (Μήνες / Ημέρες)</t>
  </si>
  <si>
    <t xml:space="preserve">Κόστος Ενέργειας </t>
  </si>
  <si>
    <t>Ετήσιος Ρυθμός Αύξησης Τιμολογίου Γ-4 της ΔΕΗ</t>
  </si>
  <si>
    <t>Μέρες / Εβδομάδα</t>
  </si>
  <si>
    <t>Μέρες /  Έτος</t>
  </si>
  <si>
    <t xml:space="preserve">Αναγώμενες Ώρες
Λειτουργίας  </t>
  </si>
  <si>
    <t>Μέρες / Έτος</t>
  </si>
  <si>
    <t>ΕΙΣΑΓΩΓΗ ΔΕΔΟΜΕΝΩΝ</t>
  </si>
  <si>
    <t>ΒΑΣΙΚΕΣ ΠΑΡΑΔΟΧΕΣ ΑΝΑΛΥΣΗΣ</t>
  </si>
  <si>
    <t>ΣΥΝΟΛΙΚΟ ΚΟΣΤΟΣ ΕΠΕΝΔΥΣΗΣ</t>
  </si>
  <si>
    <t>Σύνολο Επένδυσης</t>
  </si>
  <si>
    <t>ΔΑΝΕΙΣΜΟΣ -                                      ΕΤΟΣ</t>
  </si>
  <si>
    <t>ΕΠΙΔΟΤΟΥΜΕΝΟ LOAN</t>
  </si>
  <si>
    <t>ΕΜΠΟΡΙΚΟ LOAN</t>
  </si>
  <si>
    <t>ΠΙΝΑΚΑΣ</t>
  </si>
  <si>
    <t xml:space="preserve">Φωτιστικά </t>
  </si>
  <si>
    <t>ΦΠΑ @ 24%</t>
  </si>
  <si>
    <t>Απαιτούμενη Συνολική Επένδυση για το Έτος 0 (το οποίο είναι το άθροισμα της αντικατάστασης μαζί με όποια άλλα κόστη υπάρξουν)</t>
  </si>
  <si>
    <t>Σύστημα Τηλεδιαχείρισης &amp; Ελέγχου</t>
  </si>
  <si>
    <t>Smart Cities (Εγκατάσταση - Εξοπλισμός)</t>
  </si>
  <si>
    <t>ΚΑΤΑΝΑΛΩΣΗ ΕΝΕΡΓΕΙΑΣ ΣΕ KWH &amp; €</t>
  </si>
  <si>
    <t>Σύστημα Τηλεδιαχείρισης &amp; Ελέγχου (Εγκατάσταση - Εξοπλισμός)</t>
  </si>
  <si>
    <t>Επιτόκιο Εμπορικού ΕΤΕΠ</t>
  </si>
  <si>
    <t>Επιτόκιο Εμπορικού ΤΠΔ</t>
  </si>
  <si>
    <t>Έτη Εξόφλησης Εμπορικού Δανείου ΕΤΕπ</t>
  </si>
  <si>
    <t>9+</t>
  </si>
  <si>
    <t>Έσοδα από Εξοικονόμηση</t>
  </si>
  <si>
    <t>Έσοδα Σύμβασης (1)</t>
  </si>
  <si>
    <t>Δάνειο ΕΤΕπ (8)</t>
  </si>
  <si>
    <t xml:space="preserve">Δάνειο ΤΠΔ (10) </t>
  </si>
  <si>
    <t>Αποπληρωμή Δανείου ΕΤΕπ (Τόκοι+Κεφάλαιο) (12)</t>
  </si>
  <si>
    <t>Αποπληρωμή Δανείου ΤΠΔ (Τόκοι+Κεφάλαιο) (13)</t>
  </si>
  <si>
    <t>Λαμπτήρας LED ≤ 30W</t>
  </si>
  <si>
    <t>Φωτιστικά σώματα τύπου σφαίρας ή φανάρι επί χαμηλού ιστού 70W</t>
  </si>
  <si>
    <t>Φωτιστικά σώματα τύπου σφαίρας ή φανάρι επί χαμηλού ιστού 125W</t>
  </si>
  <si>
    <t>Λαμπτήρας LED ≤ 55W</t>
  </si>
  <si>
    <t>Φωτιστικά σώματα τύπου σφαίρας ή φανάρι επί χαμηλού ιστού 250W</t>
  </si>
  <si>
    <t>Λαμπτήρας LED ≤ 110W</t>
  </si>
  <si>
    <t>Φωτιστικά σώματα οδοφωτισμού επί ιστού ΔΕΗ ή ποδηλατόδρομου 125W</t>
  </si>
  <si>
    <t>Φωτιστικά σώματα οδοφωτισμού επί ψήλου ιστού 250W</t>
  </si>
  <si>
    <t>Φωτιστικό Δρόμου ≤ 110W</t>
  </si>
  <si>
    <t>Φωτιστικά σώματα οδοφωτισμού επί ψήλου ιστού 400W</t>
  </si>
  <si>
    <t>Φωτιστικό Δρόμου ≤ 180W</t>
  </si>
  <si>
    <t>ΔΗΜΟΣ ΑΓΙΑΣ ΠΑΡΑΣΚΕΥΗΣ</t>
  </si>
  <si>
    <t>ΔΑΝΕΙΟ 100% ΔΗΜΟΣ - ΠΙΘΑΝΟ ΣΕΝΑΡΙΟ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</si>
</sst>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_ ;\-#,##0\ "/>
    <numFmt numFmtId="167" formatCode="0.0000"/>
    <numFmt numFmtId="168" formatCode="#,##0.0_ ;[Red]\-#,##0.0\ "/>
    <numFmt numFmtId="169" formatCode="#,##0_ ;[Red]\-#,##0\ "/>
    <numFmt numFmtId="170" formatCode="0.0%"/>
    <numFmt numFmtId="171" formatCode="_-* #,##0.00\ [$€-408]_-;\-* #,##0.00\ [$€-408]_-;_-* &quot;-&quot;??\ [$€-408]_-;_-@_-"/>
    <numFmt numFmtId="172" formatCode="_-* #,##0.00\ &quot;€&quot;_-;\-* #,##0.00\ &quot;€&quot;_-;_-* &quot;-&quot;\ &quot;€&quot;_-;_-@_-"/>
    <numFmt numFmtId="173" formatCode="[$-F400]h:mm:ss\ AM/PM"/>
    <numFmt numFmtId="174" formatCode="#,##0.00_ ;[Red]\-#,##0.00\ "/>
    <numFmt numFmtId="175" formatCode="#,##0.00_ ;\-#,##0.00\ "/>
    <numFmt numFmtId="176" formatCode="#,##0.00\ &quot;€&quot;"/>
    <numFmt numFmtId="177" formatCode="#,##0.00000"/>
  </numFmts>
  <fonts count="8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9"/>
      <color theme="1"/>
      <name val="Verdan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i/>
      <sz val="12"/>
      <color rgb="FF00B05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C0000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b/>
      <sz val="10"/>
      <color theme="0" tint="-0.49998474074526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sz val="11"/>
      <color theme="0" tint="-4.9989318521683403E-2"/>
      <name val="Calibri"/>
      <family val="2"/>
      <charset val="161"/>
      <scheme val="minor"/>
    </font>
    <font>
      <b/>
      <i/>
      <sz val="11"/>
      <color theme="0" tint="-4.9989318521683403E-2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b/>
      <i/>
      <sz val="10"/>
      <color rgb="FFFFFFFF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sz val="11"/>
      <color theme="0" tint="-0.14999847407452621"/>
      <name val="Calibri"/>
      <family val="2"/>
      <charset val="161"/>
      <scheme val="minor"/>
    </font>
    <font>
      <b/>
      <i/>
      <sz val="12"/>
      <color rgb="FF7030A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b/>
      <i/>
      <sz val="12"/>
      <color theme="6"/>
      <name val="Calibri"/>
      <family val="2"/>
      <charset val="161"/>
      <scheme val="minor"/>
    </font>
    <font>
      <i/>
      <sz val="12"/>
      <color theme="6" tint="-0.249977111117893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8"/>
      <color theme="0"/>
      <name val="Calibri"/>
      <family val="2"/>
      <charset val="161"/>
      <scheme val="minor"/>
    </font>
    <font>
      <b/>
      <sz val="8"/>
      <color rgb="FF00B050"/>
      <name val="Calibri"/>
      <family val="2"/>
      <charset val="161"/>
      <scheme val="minor"/>
    </font>
    <font>
      <b/>
      <sz val="8"/>
      <color theme="6" tint="-0.249977111117893"/>
      <name val="Calibri"/>
      <family val="2"/>
      <charset val="161"/>
      <scheme val="minor"/>
    </font>
    <font>
      <u/>
      <sz val="8"/>
      <color rgb="FF00B05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9"/>
      <color theme="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8"/>
      <color theme="1"/>
      <name val="Verdana"/>
      <family val="2"/>
      <charset val="161"/>
    </font>
    <font>
      <b/>
      <sz val="8"/>
      <color rgb="FFFF0000"/>
      <name val="Verdana"/>
      <family val="2"/>
      <charset val="161"/>
    </font>
    <font>
      <b/>
      <sz val="8"/>
      <color theme="1"/>
      <name val="Calibri"/>
      <family val="2"/>
      <charset val="161"/>
    </font>
    <font>
      <b/>
      <sz val="8"/>
      <color rgb="FFFFFFFF"/>
      <name val="Calibri"/>
      <family val="2"/>
      <charset val="161"/>
      <scheme val="minor"/>
    </font>
    <font>
      <b/>
      <sz val="8"/>
      <color theme="0" tint="-0.499984740745262"/>
      <name val="Calibri"/>
      <family val="2"/>
      <charset val="161"/>
      <scheme val="minor"/>
    </font>
    <font>
      <b/>
      <u/>
      <sz val="8"/>
      <color rgb="FF00B05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  <font>
      <b/>
      <sz val="9"/>
      <color rgb="FFFFFFFF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i/>
      <sz val="9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b/>
      <i/>
      <sz val="9"/>
      <color rgb="FFFF0000"/>
      <name val="Calibri"/>
      <family val="2"/>
      <charset val="161"/>
      <scheme val="minor"/>
    </font>
    <font>
      <b/>
      <i/>
      <sz val="9"/>
      <color theme="6" tint="-0.249977111117893"/>
      <name val="Calibri"/>
      <family val="2"/>
      <charset val="161"/>
      <scheme val="minor"/>
    </font>
    <font>
      <i/>
      <sz val="9"/>
      <color theme="6" tint="-0.499984740745262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b/>
      <sz val="9"/>
      <color theme="0" tint="-4.9989318521683403E-2"/>
      <name val="Calibri"/>
      <family val="2"/>
      <charset val="161"/>
      <scheme val="minor"/>
    </font>
    <font>
      <b/>
      <i/>
      <sz val="9"/>
      <color theme="0"/>
      <name val="Calibri"/>
      <family val="2"/>
      <charset val="161"/>
      <scheme val="minor"/>
    </font>
    <font>
      <b/>
      <i/>
      <sz val="9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sz val="9"/>
      <color theme="1" tint="0.249977111117893"/>
      <name val="Calibri"/>
      <family val="2"/>
      <charset val="161"/>
      <scheme val="minor"/>
    </font>
    <font>
      <b/>
      <sz val="9"/>
      <color theme="0" tint="-0.499984740745262"/>
      <name val="Calibri"/>
      <family val="2"/>
      <charset val="161"/>
      <scheme val="minor"/>
    </font>
    <font>
      <u/>
      <sz val="9"/>
      <color theme="1"/>
      <name val="Calibri"/>
      <family val="2"/>
      <charset val="161"/>
      <scheme val="minor"/>
    </font>
    <font>
      <vertAlign val="subscript"/>
      <sz val="9"/>
      <name val="Calibri"/>
      <family val="2"/>
      <charset val="161"/>
      <scheme val="minor"/>
    </font>
    <font>
      <i/>
      <sz val="9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1"/>
      <color theme="3"/>
      <name val="Calibri"/>
      <family val="2"/>
      <charset val="161"/>
    </font>
    <font>
      <b/>
      <i/>
      <sz val="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</font>
    <font>
      <b/>
      <sz val="12"/>
      <color theme="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/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/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21">
    <xf numFmtId="0" fontId="0" fillId="0" borderId="0" xfId="0"/>
    <xf numFmtId="0" fontId="28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55" fillId="4" borderId="0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44" fillId="6" borderId="0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 wrapText="1"/>
    </xf>
    <xf numFmtId="0" fontId="55" fillId="4" borderId="8" xfId="0" applyFont="1" applyFill="1" applyBorder="1" applyAlignment="1">
      <alignment horizontal="center" vertical="center" wrapText="1"/>
    </xf>
    <xf numFmtId="4" fontId="47" fillId="5" borderId="22" xfId="0" applyNumberFormat="1" applyFont="1" applyFill="1" applyBorder="1" applyAlignment="1">
      <alignment horizontal="center" vertical="center"/>
    </xf>
    <xf numFmtId="0" fontId="58" fillId="25" borderId="58" xfId="0" applyFont="1" applyFill="1" applyBorder="1" applyAlignment="1">
      <alignment horizontal="center" vertical="center" wrapText="1"/>
    </xf>
    <xf numFmtId="0" fontId="58" fillId="25" borderId="59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168" fontId="20" fillId="5" borderId="0" xfId="0" applyNumberFormat="1" applyFont="1" applyFill="1" applyBorder="1" applyAlignment="1">
      <alignment horizontal="center" vertical="center"/>
    </xf>
    <xf numFmtId="168" fontId="42" fillId="0" borderId="57" xfId="0" applyNumberFormat="1" applyFont="1" applyFill="1" applyBorder="1" applyAlignment="1">
      <alignment horizontal="center" vertical="center"/>
    </xf>
    <xf numFmtId="0" fontId="26" fillId="6" borderId="49" xfId="0" applyFont="1" applyFill="1" applyBorder="1" applyAlignment="1">
      <alignment horizontal="center" vertical="center"/>
    </xf>
    <xf numFmtId="0" fontId="2" fillId="5" borderId="21" xfId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0" fillId="2" borderId="21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0" fillId="5" borderId="21" xfId="0" applyFont="1" applyFill="1" applyBorder="1" applyAlignment="1">
      <alignment horizontal="center" vertical="center"/>
    </xf>
    <xf numFmtId="3" fontId="50" fillId="5" borderId="0" xfId="0" applyNumberFormat="1" applyFont="1" applyFill="1" applyBorder="1" applyAlignment="1">
      <alignment horizontal="center" vertical="center"/>
    </xf>
    <xf numFmtId="172" fontId="50" fillId="5" borderId="0" xfId="0" applyNumberFormat="1" applyFont="1" applyFill="1" applyBorder="1" applyAlignment="1">
      <alignment horizontal="center" vertical="center"/>
    </xf>
    <xf numFmtId="172" fontId="50" fillId="5" borderId="22" xfId="0" applyNumberFormat="1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172" fontId="58" fillId="5" borderId="22" xfId="0" applyNumberFormat="1" applyFont="1" applyFill="1" applyBorder="1" applyAlignment="1">
      <alignment horizontal="center" vertical="center"/>
    </xf>
    <xf numFmtId="0" fontId="58" fillId="5" borderId="21" xfId="0" applyFont="1" applyFill="1" applyBorder="1" applyAlignment="1">
      <alignment horizontal="center" vertical="center"/>
    </xf>
    <xf numFmtId="3" fontId="26" fillId="5" borderId="0" xfId="0" applyNumberFormat="1" applyFont="1" applyFill="1" applyBorder="1" applyAlignment="1">
      <alignment horizontal="center" vertical="center"/>
    </xf>
    <xf numFmtId="172" fontId="26" fillId="5" borderId="0" xfId="0" applyNumberFormat="1" applyFont="1" applyFill="1" applyBorder="1" applyAlignment="1">
      <alignment horizontal="center" vertical="center"/>
    </xf>
    <xf numFmtId="172" fontId="26" fillId="5" borderId="22" xfId="0" applyNumberFormat="1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3" fontId="26" fillId="4" borderId="0" xfId="0" applyNumberFormat="1" applyFont="1" applyFill="1" applyBorder="1" applyAlignment="1">
      <alignment horizontal="center" vertical="center"/>
    </xf>
    <xf numFmtId="172" fontId="26" fillId="4" borderId="0" xfId="0" applyNumberFormat="1" applyFont="1" applyFill="1" applyBorder="1" applyAlignment="1">
      <alignment horizontal="center" vertical="center"/>
    </xf>
    <xf numFmtId="172" fontId="26" fillId="4" borderId="22" xfId="0" applyNumberFormat="1" applyFont="1" applyFill="1" applyBorder="1" applyAlignment="1">
      <alignment horizontal="center" vertical="center"/>
    </xf>
    <xf numFmtId="0" fontId="51" fillId="5" borderId="21" xfId="0" applyFont="1" applyFill="1" applyBorder="1" applyAlignment="1">
      <alignment horizontal="center" vertical="center"/>
    </xf>
    <xf numFmtId="172" fontId="51" fillId="5" borderId="22" xfId="0" applyNumberFormat="1" applyFont="1" applyFill="1" applyBorder="1" applyAlignment="1">
      <alignment horizontal="center" vertical="center" wrapText="1"/>
    </xf>
    <xf numFmtId="0" fontId="51" fillId="5" borderId="23" xfId="0" applyFont="1" applyFill="1" applyBorder="1" applyAlignment="1">
      <alignment horizontal="center" vertical="center"/>
    </xf>
    <xf numFmtId="0" fontId="51" fillId="5" borderId="24" xfId="0" applyFont="1" applyFill="1" applyBorder="1" applyAlignment="1">
      <alignment horizontal="center" vertical="center"/>
    </xf>
    <xf numFmtId="172" fontId="51" fillId="5" borderId="24" xfId="0" applyNumberFormat="1" applyFont="1" applyFill="1" applyBorder="1" applyAlignment="1">
      <alignment horizontal="center" vertical="center"/>
    </xf>
    <xf numFmtId="172" fontId="51" fillId="5" borderId="25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5" borderId="18" xfId="1" applyFont="1" applyFill="1" applyBorder="1" applyAlignment="1" applyProtection="1">
      <alignment horizontal="center" vertical="center"/>
    </xf>
    <xf numFmtId="0" fontId="2" fillId="5" borderId="19" xfId="1" applyFill="1" applyBorder="1" applyAlignment="1" applyProtection="1">
      <alignment horizontal="center" vertical="center"/>
    </xf>
    <xf numFmtId="0" fontId="2" fillId="5" borderId="20" xfId="1" applyFill="1" applyBorder="1" applyAlignment="1" applyProtection="1">
      <alignment horizontal="center" vertical="center"/>
    </xf>
    <xf numFmtId="0" fontId="4" fillId="5" borderId="21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 vertical="center"/>
    </xf>
    <xf numFmtId="0" fontId="4" fillId="5" borderId="22" xfId="1" applyFont="1" applyFill="1" applyBorder="1" applyAlignment="1" applyProtection="1">
      <alignment horizontal="center" vertical="center"/>
    </xf>
    <xf numFmtId="0" fontId="3" fillId="5" borderId="21" xfId="1" applyFont="1" applyFill="1" applyBorder="1" applyAlignment="1" applyProtection="1">
      <alignment horizontal="center" vertical="center"/>
    </xf>
    <xf numFmtId="0" fontId="2" fillId="5" borderId="0" xfId="1" applyFill="1" applyBorder="1" applyAlignment="1" applyProtection="1">
      <alignment horizontal="center" vertical="center"/>
    </xf>
    <xf numFmtId="0" fontId="7" fillId="5" borderId="0" xfId="1" applyFont="1" applyFill="1" applyBorder="1" applyAlignment="1" applyProtection="1">
      <alignment horizontal="center" vertical="center"/>
    </xf>
    <xf numFmtId="0" fontId="2" fillId="5" borderId="22" xfId="1" applyFill="1" applyBorder="1" applyAlignment="1" applyProtection="1">
      <alignment horizontal="center" vertical="center"/>
    </xf>
    <xf numFmtId="0" fontId="35" fillId="5" borderId="0" xfId="1" applyFont="1" applyFill="1" applyBorder="1" applyAlignment="1" applyProtection="1">
      <alignment horizontal="center" vertical="center"/>
    </xf>
    <xf numFmtId="0" fontId="36" fillId="5" borderId="0" xfId="1" applyFont="1" applyFill="1" applyBorder="1" applyAlignment="1" applyProtection="1">
      <alignment horizontal="center" vertical="center"/>
    </xf>
    <xf numFmtId="1" fontId="37" fillId="5" borderId="0" xfId="1" applyNumberFormat="1" applyFont="1" applyFill="1" applyBorder="1" applyAlignment="1" applyProtection="1">
      <alignment horizontal="center" vertical="center"/>
      <protection locked="0"/>
    </xf>
    <xf numFmtId="0" fontId="6" fillId="5" borderId="0" xfId="1" applyFont="1" applyFill="1" applyBorder="1" applyAlignment="1" applyProtection="1">
      <alignment horizontal="center" vertical="center"/>
    </xf>
    <xf numFmtId="0" fontId="6" fillId="5" borderId="22" xfId="1" applyFont="1" applyFill="1" applyBorder="1" applyAlignment="1" applyProtection="1">
      <alignment horizontal="center" vertical="center"/>
    </xf>
    <xf numFmtId="0" fontId="43" fillId="5" borderId="21" xfId="1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49" fontId="1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0" xfId="1" applyFont="1" applyFill="1" applyBorder="1" applyAlignment="1" applyProtection="1">
      <alignment horizontal="center" vertical="center" wrapText="1"/>
    </xf>
    <xf numFmtId="0" fontId="3" fillId="5" borderId="22" xfId="1" applyFont="1" applyFill="1" applyBorder="1" applyAlignment="1" applyProtection="1">
      <alignment horizontal="center" vertical="center" wrapText="1"/>
    </xf>
    <xf numFmtId="0" fontId="3" fillId="5" borderId="21" xfId="1" applyFont="1" applyFill="1" applyBorder="1" applyAlignment="1" applyProtection="1">
      <alignment horizontal="center" vertical="center" wrapText="1"/>
    </xf>
    <xf numFmtId="49" fontId="2" fillId="5" borderId="22" xfId="1" applyNumberFormat="1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>
      <alignment horizontal="center" vertical="center"/>
    </xf>
    <xf numFmtId="49" fontId="35" fillId="5" borderId="22" xfId="1" applyNumberFormat="1" applyFont="1" applyFill="1" applyBorder="1" applyAlignment="1" applyProtection="1">
      <alignment horizontal="center" vertical="center" wrapText="1"/>
      <protection locked="0"/>
    </xf>
    <xf numFmtId="0" fontId="40" fillId="5" borderId="21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38" fillId="5" borderId="21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9" fontId="46" fillId="3" borderId="6" xfId="5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9" fontId="28" fillId="12" borderId="0" xfId="0" applyNumberFormat="1" applyFont="1" applyFill="1" applyBorder="1" applyAlignment="1">
      <alignment horizontal="center" vertical="center"/>
    </xf>
    <xf numFmtId="9" fontId="10" fillId="5" borderId="0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3" fontId="46" fillId="3" borderId="6" xfId="0" applyNumberFormat="1" applyFont="1" applyFill="1" applyBorder="1" applyAlignment="1">
      <alignment horizontal="center" vertical="center"/>
    </xf>
    <xf numFmtId="171" fontId="46" fillId="3" borderId="6" xfId="0" applyNumberFormat="1" applyFont="1" applyFill="1" applyBorder="1" applyAlignment="1">
      <alignment horizontal="center" vertical="center"/>
    </xf>
    <xf numFmtId="171" fontId="10" fillId="5" borderId="0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46" fillId="3" borderId="6" xfId="0" applyFont="1" applyFill="1" applyBorder="1" applyAlignment="1">
      <alignment horizontal="center" vertical="center"/>
    </xf>
    <xf numFmtId="171" fontId="57" fillId="5" borderId="7" xfId="0" applyNumberFormat="1" applyFont="1" applyFill="1" applyBorder="1" applyAlignment="1">
      <alignment horizontal="center" vertical="center"/>
    </xf>
    <xf numFmtId="0" fontId="44" fillId="7" borderId="0" xfId="0" applyFont="1" applyFill="1" applyBorder="1" applyAlignment="1">
      <alignment horizontal="center" vertical="center"/>
    </xf>
    <xf numFmtId="0" fontId="44" fillId="7" borderId="14" xfId="0" applyFont="1" applyFill="1" applyBorder="1" applyAlignment="1">
      <alignment horizontal="center" vertical="center"/>
    </xf>
    <xf numFmtId="0" fontId="44" fillId="7" borderId="1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6" fillId="6" borderId="5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51" fillId="2" borderId="52" xfId="0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10" fontId="51" fillId="5" borderId="54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 wrapText="1"/>
    </xf>
    <xf numFmtId="4" fontId="50" fillId="2" borderId="6" xfId="0" applyNumberFormat="1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horizontal="center" vertical="center"/>
    </xf>
    <xf numFmtId="3" fontId="50" fillId="2" borderId="6" xfId="0" applyNumberFormat="1" applyFont="1" applyFill="1" applyBorder="1" applyAlignment="1">
      <alignment horizontal="center" vertical="center"/>
    </xf>
    <xf numFmtId="9" fontId="50" fillId="2" borderId="6" xfId="0" applyNumberFormat="1" applyFont="1" applyFill="1" applyBorder="1" applyAlignment="1">
      <alignment horizontal="center" vertical="center"/>
    </xf>
    <xf numFmtId="3" fontId="50" fillId="2" borderId="33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0" fontId="51" fillId="2" borderId="57" xfId="0" applyFont="1" applyFill="1" applyBorder="1" applyAlignment="1">
      <alignment horizontal="center" vertical="center"/>
    </xf>
    <xf numFmtId="4" fontId="60" fillId="2" borderId="6" xfId="0" applyNumberFormat="1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3" fontId="51" fillId="2" borderId="6" xfId="0" applyNumberFormat="1" applyFont="1" applyFill="1" applyBorder="1" applyAlignment="1">
      <alignment horizontal="center" vertical="center"/>
    </xf>
    <xf numFmtId="3" fontId="51" fillId="2" borderId="34" xfId="0" applyNumberFormat="1" applyFont="1" applyFill="1" applyBorder="1" applyAlignment="1">
      <alignment horizontal="center" vertical="center"/>
    </xf>
    <xf numFmtId="10" fontId="51" fillId="5" borderId="57" xfId="0" applyNumberFormat="1" applyFont="1" applyFill="1" applyBorder="1" applyAlignment="1">
      <alignment horizontal="center" vertical="center"/>
    </xf>
    <xf numFmtId="0" fontId="60" fillId="7" borderId="15" xfId="0" applyFont="1" applyFill="1" applyBorder="1" applyAlignment="1">
      <alignment horizontal="center" vertical="center"/>
    </xf>
    <xf numFmtId="4" fontId="61" fillId="7" borderId="7" xfId="0" applyNumberFormat="1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4" fontId="63" fillId="15" borderId="41" xfId="0" applyNumberFormat="1" applyFont="1" applyFill="1" applyBorder="1" applyAlignment="1">
      <alignment horizontal="center" vertical="center"/>
    </xf>
    <xf numFmtId="0" fontId="51" fillId="5" borderId="57" xfId="0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horizontal="center" vertical="center" wrapText="1"/>
    </xf>
    <xf numFmtId="0" fontId="51" fillId="2" borderId="6" xfId="0" applyFont="1" applyFill="1" applyBorder="1" applyAlignment="1">
      <alignment horizontal="center" vertical="center" wrapText="1"/>
    </xf>
    <xf numFmtId="173" fontId="50" fillId="2" borderId="6" xfId="0" applyNumberFormat="1" applyFont="1" applyFill="1" applyBorder="1" applyAlignment="1">
      <alignment horizontal="center" vertical="center" wrapText="1"/>
    </xf>
    <xf numFmtId="2" fontId="50" fillId="2" borderId="6" xfId="0" applyNumberFormat="1" applyFont="1" applyFill="1" applyBorder="1" applyAlignment="1">
      <alignment horizontal="center" vertical="center" wrapText="1"/>
    </xf>
    <xf numFmtId="2" fontId="50" fillId="2" borderId="33" xfId="0" applyNumberFormat="1" applyFont="1" applyFill="1" applyBorder="1" applyAlignment="1">
      <alignment horizontal="center" vertical="center" wrapText="1"/>
    </xf>
    <xf numFmtId="2" fontId="50" fillId="2" borderId="31" xfId="0" applyNumberFormat="1" applyFont="1" applyFill="1" applyBorder="1" applyAlignment="1">
      <alignment horizontal="center" vertical="center" wrapText="1"/>
    </xf>
    <xf numFmtId="173" fontId="50" fillId="2" borderId="4" xfId="0" applyNumberFormat="1" applyFont="1" applyFill="1" applyBorder="1" applyAlignment="1">
      <alignment horizontal="center" vertical="center" wrapText="1"/>
    </xf>
    <xf numFmtId="2" fontId="62" fillId="15" borderId="9" xfId="0" applyNumberFormat="1" applyFont="1" applyFill="1" applyBorder="1" applyAlignment="1">
      <alignment horizontal="center" vertical="center" wrapText="1"/>
    </xf>
    <xf numFmtId="0" fontId="50" fillId="2" borderId="5" xfId="0" applyFont="1" applyFill="1" applyBorder="1" applyAlignment="1">
      <alignment horizontal="center" vertical="center" wrapText="1"/>
    </xf>
    <xf numFmtId="0" fontId="50" fillId="2" borderId="31" xfId="0" applyFont="1" applyFill="1" applyBorder="1" applyAlignment="1">
      <alignment horizontal="center" vertical="center" wrapText="1"/>
    </xf>
    <xf numFmtId="2" fontId="50" fillId="2" borderId="34" xfId="0" applyNumberFormat="1" applyFont="1" applyFill="1" applyBorder="1" applyAlignment="1">
      <alignment horizontal="center" vertical="center" wrapText="1"/>
    </xf>
    <xf numFmtId="0" fontId="51" fillId="2" borderId="30" xfId="0" applyFont="1" applyFill="1" applyBorder="1" applyAlignment="1">
      <alignment horizontal="center" vertical="center" wrapText="1"/>
    </xf>
    <xf numFmtId="4" fontId="51" fillId="2" borderId="35" xfId="0" applyNumberFormat="1" applyFont="1" applyFill="1" applyBorder="1" applyAlignment="1">
      <alignment horizontal="center" vertical="center" wrapText="1"/>
    </xf>
    <xf numFmtId="0" fontId="49" fillId="5" borderId="0" xfId="0" applyFont="1" applyFill="1" applyBorder="1" applyAlignment="1">
      <alignment horizontal="center" vertical="center"/>
    </xf>
    <xf numFmtId="167" fontId="51" fillId="5" borderId="57" xfId="0" applyNumberFormat="1" applyFont="1" applyFill="1" applyBorder="1" applyAlignment="1">
      <alignment horizontal="center" vertical="center"/>
    </xf>
    <xf numFmtId="0" fontId="50" fillId="5" borderId="60" xfId="0" applyFont="1" applyFill="1" applyBorder="1" applyAlignment="1">
      <alignment horizontal="center" vertical="center"/>
    </xf>
    <xf numFmtId="2" fontId="51" fillId="5" borderId="61" xfId="0" applyNumberFormat="1" applyFont="1" applyFill="1" applyBorder="1" applyAlignment="1">
      <alignment horizontal="center" vertical="center"/>
    </xf>
    <xf numFmtId="0" fontId="50" fillId="5" borderId="24" xfId="0" applyFont="1" applyFill="1" applyBorder="1" applyAlignment="1">
      <alignment horizontal="center" vertical="center"/>
    </xf>
    <xf numFmtId="0" fontId="65" fillId="5" borderId="24" xfId="0" applyFont="1" applyFill="1" applyBorder="1" applyAlignment="1">
      <alignment horizontal="center" vertical="center"/>
    </xf>
    <xf numFmtId="171" fontId="64" fillId="5" borderId="24" xfId="0" applyNumberFormat="1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53" fillId="5" borderId="0" xfId="0" applyFont="1" applyFill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3" fontId="10" fillId="5" borderId="11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Border="1" applyAlignment="1">
      <alignment horizontal="center" vertical="center"/>
    </xf>
    <xf numFmtId="3" fontId="10" fillId="5" borderId="7" xfId="0" applyNumberFormat="1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54" fillId="21" borderId="0" xfId="0" applyFont="1" applyFill="1" applyBorder="1" applyAlignment="1">
      <alignment horizontal="center" vertical="center"/>
    </xf>
    <xf numFmtId="4" fontId="66" fillId="5" borderId="22" xfId="0" applyNumberFormat="1" applyFont="1" applyFill="1" applyBorder="1" applyAlignment="1">
      <alignment horizontal="center" vertical="center"/>
    </xf>
    <xf numFmtId="3" fontId="28" fillId="21" borderId="24" xfId="0" applyNumberFormat="1" applyFont="1" applyFill="1" applyBorder="1" applyAlignment="1">
      <alignment horizontal="center" vertical="center"/>
    </xf>
    <xf numFmtId="4" fontId="66" fillId="5" borderId="25" xfId="0" applyNumberFormat="1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49" fillId="4" borderId="63" xfId="0" applyFont="1" applyFill="1" applyBorder="1" applyAlignment="1">
      <alignment horizontal="center" vertical="center"/>
    </xf>
    <xf numFmtId="0" fontId="61" fillId="5" borderId="63" xfId="0" applyFont="1" applyFill="1" applyBorder="1" applyAlignment="1">
      <alignment horizontal="center" vertical="center"/>
    </xf>
    <xf numFmtId="0" fontId="61" fillId="5" borderId="64" xfId="0" applyFont="1" applyFill="1" applyBorder="1" applyAlignment="1">
      <alignment horizontal="center" vertical="center"/>
    </xf>
    <xf numFmtId="0" fontId="50" fillId="2" borderId="58" xfId="0" applyFont="1" applyFill="1" applyBorder="1" applyAlignment="1">
      <alignment horizontal="center" vertical="center" wrapText="1"/>
    </xf>
    <xf numFmtId="0" fontId="58" fillId="2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/>
    </xf>
    <xf numFmtId="167" fontId="26" fillId="2" borderId="0" xfId="0" applyNumberFormat="1" applyFont="1" applyFill="1" applyBorder="1" applyAlignment="1">
      <alignment horizontal="center" vertical="center"/>
    </xf>
    <xf numFmtId="167" fontId="26" fillId="2" borderId="57" xfId="0" applyNumberFormat="1" applyFont="1" applyFill="1" applyBorder="1" applyAlignment="1">
      <alignment horizontal="center" vertical="center"/>
    </xf>
    <xf numFmtId="0" fontId="29" fillId="15" borderId="0" xfId="0" applyFont="1" applyFill="1" applyBorder="1" applyAlignment="1">
      <alignment horizontal="center" vertical="center" wrapText="1"/>
    </xf>
    <xf numFmtId="0" fontId="51" fillId="15" borderId="0" xfId="0" applyFont="1" applyFill="1" applyBorder="1" applyAlignment="1">
      <alignment horizontal="center" vertical="center"/>
    </xf>
    <xf numFmtId="4" fontId="51" fillId="15" borderId="0" xfId="0" applyNumberFormat="1" applyFont="1" applyFill="1" applyBorder="1" applyAlignment="1">
      <alignment horizontal="center" vertical="center"/>
    </xf>
    <xf numFmtId="4" fontId="50" fillId="15" borderId="0" xfId="0" applyNumberFormat="1" applyFont="1" applyFill="1" applyBorder="1" applyAlignment="1">
      <alignment horizontal="center" vertical="center"/>
    </xf>
    <xf numFmtId="4" fontId="50" fillId="15" borderId="57" xfId="0" applyNumberFormat="1" applyFont="1" applyFill="1" applyBorder="1" applyAlignment="1">
      <alignment horizontal="center" vertical="center"/>
    </xf>
    <xf numFmtId="4" fontId="51" fillId="18" borderId="0" xfId="0" applyNumberFormat="1" applyFont="1" applyFill="1" applyBorder="1" applyAlignment="1">
      <alignment horizontal="center" vertical="center"/>
    </xf>
    <xf numFmtId="4" fontId="50" fillId="18" borderId="0" xfId="0" applyNumberFormat="1" applyFont="1" applyFill="1" applyBorder="1" applyAlignment="1">
      <alignment horizontal="center" vertical="center"/>
    </xf>
    <xf numFmtId="4" fontId="50" fillId="18" borderId="57" xfId="0" applyNumberFormat="1" applyFont="1" applyFill="1" applyBorder="1" applyAlignment="1">
      <alignment horizontal="center" vertical="center"/>
    </xf>
    <xf numFmtId="4" fontId="74" fillId="15" borderId="0" xfId="0" applyNumberFormat="1" applyFont="1" applyFill="1" applyBorder="1" applyAlignment="1">
      <alignment horizontal="center" vertical="center"/>
    </xf>
    <xf numFmtId="4" fontId="74" fillId="15" borderId="57" xfId="0" applyNumberFormat="1" applyFont="1" applyFill="1" applyBorder="1" applyAlignment="1">
      <alignment horizontal="center" vertical="center"/>
    </xf>
    <xf numFmtId="0" fontId="29" fillId="13" borderId="0" xfId="0" applyFont="1" applyFill="1" applyBorder="1" applyAlignment="1">
      <alignment horizontal="center" vertical="center" wrapText="1"/>
    </xf>
    <xf numFmtId="0" fontId="51" fillId="13" borderId="0" xfId="0" applyFont="1" applyFill="1" applyBorder="1" applyAlignment="1">
      <alignment horizontal="center" vertical="center"/>
    </xf>
    <xf numFmtId="4" fontId="51" fillId="13" borderId="0" xfId="0" applyNumberFormat="1" applyFont="1" applyFill="1" applyBorder="1" applyAlignment="1">
      <alignment horizontal="center" vertical="center"/>
    </xf>
    <xf numFmtId="4" fontId="50" fillId="13" borderId="0" xfId="0" applyNumberFormat="1" applyFont="1" applyFill="1" applyBorder="1" applyAlignment="1">
      <alignment horizontal="center" vertical="center"/>
    </xf>
    <xf numFmtId="4" fontId="50" fillId="13" borderId="57" xfId="0" applyNumberFormat="1" applyFont="1" applyFill="1" applyBorder="1" applyAlignment="1">
      <alignment horizontal="center" vertical="center"/>
    </xf>
    <xf numFmtId="4" fontId="74" fillId="13" borderId="0" xfId="0" applyNumberFormat="1" applyFont="1" applyFill="1" applyBorder="1" applyAlignment="1">
      <alignment horizontal="center" vertical="center"/>
    </xf>
    <xf numFmtId="4" fontId="74" fillId="13" borderId="57" xfId="0" applyNumberFormat="1" applyFont="1" applyFill="1" applyBorder="1" applyAlignment="1">
      <alignment horizontal="center" vertical="center"/>
    </xf>
    <xf numFmtId="0" fontId="69" fillId="10" borderId="0" xfId="0" applyFont="1" applyFill="1" applyBorder="1" applyAlignment="1">
      <alignment horizontal="center" vertical="center" wrapText="1"/>
    </xf>
    <xf numFmtId="0" fontId="51" fillId="10" borderId="0" xfId="0" applyFont="1" applyFill="1" applyBorder="1" applyAlignment="1">
      <alignment horizontal="center" vertical="center"/>
    </xf>
    <xf numFmtId="4" fontId="51" fillId="16" borderId="0" xfId="0" applyNumberFormat="1" applyFont="1" applyFill="1" applyBorder="1" applyAlignment="1">
      <alignment horizontal="center" vertical="center"/>
    </xf>
    <xf numFmtId="4" fontId="26" fillId="16" borderId="0" xfId="0" applyNumberFormat="1" applyFont="1" applyFill="1" applyBorder="1" applyAlignment="1">
      <alignment horizontal="center" vertical="center"/>
    </xf>
    <xf numFmtId="4" fontId="26" fillId="16" borderId="57" xfId="0" applyNumberFormat="1" applyFont="1" applyFill="1" applyBorder="1" applyAlignment="1">
      <alignment horizontal="center" vertical="center"/>
    </xf>
    <xf numFmtId="4" fontId="58" fillId="10" borderId="0" xfId="0" applyNumberFormat="1" applyFont="1" applyFill="1" applyBorder="1" applyAlignment="1">
      <alignment horizontal="center" vertical="center"/>
    </xf>
    <xf numFmtId="4" fontId="26" fillId="10" borderId="0" xfId="0" applyNumberFormat="1" applyFont="1" applyFill="1" applyBorder="1" applyAlignment="1">
      <alignment horizontal="center" vertical="center"/>
    </xf>
    <xf numFmtId="4" fontId="26" fillId="10" borderId="57" xfId="0" applyNumberFormat="1" applyFont="1" applyFill="1" applyBorder="1" applyAlignment="1">
      <alignment horizontal="center" vertical="center"/>
    </xf>
    <xf numFmtId="0" fontId="69" fillId="22" borderId="0" xfId="0" applyFont="1" applyFill="1" applyBorder="1" applyAlignment="1">
      <alignment horizontal="center" vertical="center" wrapText="1"/>
    </xf>
    <xf numFmtId="0" fontId="51" fillId="22" borderId="0" xfId="0" applyFont="1" applyFill="1" applyBorder="1" applyAlignment="1">
      <alignment horizontal="center" vertical="center"/>
    </xf>
    <xf numFmtId="4" fontId="51" fillId="22" borderId="0" xfId="0" applyNumberFormat="1" applyFont="1" applyFill="1" applyBorder="1" applyAlignment="1">
      <alignment horizontal="center" vertical="center"/>
    </xf>
    <xf numFmtId="4" fontId="26" fillId="22" borderId="0" xfId="0" applyNumberFormat="1" applyFont="1" applyFill="1" applyBorder="1" applyAlignment="1">
      <alignment horizontal="center" vertical="center"/>
    </xf>
    <xf numFmtId="4" fontId="26" fillId="22" borderId="57" xfId="0" applyNumberFormat="1" applyFont="1" applyFill="1" applyBorder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4" fontId="51" fillId="23" borderId="0" xfId="0" applyNumberFormat="1" applyFont="1" applyFill="1" applyBorder="1" applyAlignment="1">
      <alignment horizontal="center" vertical="center"/>
    </xf>
    <xf numFmtId="4" fontId="26" fillId="23" borderId="0" xfId="0" applyNumberFormat="1" applyFont="1" applyFill="1" applyBorder="1" applyAlignment="1">
      <alignment horizontal="center" vertical="center"/>
    </xf>
    <xf numFmtId="4" fontId="26" fillId="23" borderId="57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 wrapText="1"/>
    </xf>
    <xf numFmtId="0" fontId="50" fillId="17" borderId="0" xfId="0" applyFont="1" applyFill="1" applyBorder="1" applyAlignment="1">
      <alignment horizontal="center" vertical="center"/>
    </xf>
    <xf numFmtId="4" fontId="51" fillId="17" borderId="0" xfId="0" applyNumberFormat="1" applyFont="1" applyFill="1" applyBorder="1" applyAlignment="1">
      <alignment horizontal="center" vertical="center"/>
    </xf>
    <xf numFmtId="4" fontId="50" fillId="17" borderId="0" xfId="0" applyNumberFormat="1" applyFont="1" applyFill="1" applyBorder="1" applyAlignment="1">
      <alignment horizontal="center" vertical="center"/>
    </xf>
    <xf numFmtId="4" fontId="50" fillId="17" borderId="57" xfId="0" applyNumberFormat="1" applyFont="1" applyFill="1" applyBorder="1" applyAlignment="1">
      <alignment horizontal="center" vertical="center"/>
    </xf>
    <xf numFmtId="0" fontId="29" fillId="17" borderId="0" xfId="0" applyFont="1" applyFill="1" applyBorder="1" applyAlignment="1">
      <alignment horizontal="center" vertical="center" wrapText="1"/>
    </xf>
    <xf numFmtId="0" fontId="76" fillId="17" borderId="0" xfId="0" applyFont="1" applyFill="1" applyBorder="1" applyAlignment="1">
      <alignment horizontal="center" vertical="center"/>
    </xf>
    <xf numFmtId="4" fontId="76" fillId="17" borderId="0" xfId="0" applyNumberFormat="1" applyFont="1" applyFill="1" applyBorder="1" applyAlignment="1">
      <alignment horizontal="center" vertical="center"/>
    </xf>
    <xf numFmtId="4" fontId="76" fillId="17" borderId="57" xfId="0" applyNumberFormat="1" applyFont="1" applyFill="1" applyBorder="1" applyAlignment="1">
      <alignment horizontal="center" vertical="center"/>
    </xf>
    <xf numFmtId="0" fontId="50" fillId="10" borderId="0" xfId="0" applyFont="1" applyFill="1" applyBorder="1" applyAlignment="1">
      <alignment horizontal="center" vertical="center" wrapText="1"/>
    </xf>
    <xf numFmtId="0" fontId="50" fillId="10" borderId="0" xfId="0" applyFont="1" applyFill="1" applyBorder="1" applyAlignment="1">
      <alignment horizontal="center" vertical="center"/>
    </xf>
    <xf numFmtId="4" fontId="51" fillId="10" borderId="0" xfId="0" applyNumberFormat="1" applyFont="1" applyFill="1" applyBorder="1" applyAlignment="1">
      <alignment horizontal="center" vertical="center"/>
    </xf>
    <xf numFmtId="4" fontId="50" fillId="10" borderId="0" xfId="0" applyNumberFormat="1" applyFont="1" applyFill="1" applyBorder="1" applyAlignment="1">
      <alignment horizontal="center" vertical="center"/>
    </xf>
    <xf numFmtId="4" fontId="50" fillId="10" borderId="57" xfId="0" applyNumberFormat="1" applyFont="1" applyFill="1" applyBorder="1" applyAlignment="1">
      <alignment horizontal="center" vertical="center"/>
    </xf>
    <xf numFmtId="0" fontId="50" fillId="25" borderId="0" xfId="0" applyFont="1" applyFill="1" applyBorder="1" applyAlignment="1">
      <alignment horizontal="center" vertical="center" wrapText="1"/>
    </xf>
    <xf numFmtId="0" fontId="50" fillId="25" borderId="0" xfId="0" applyFont="1" applyFill="1" applyBorder="1" applyAlignment="1">
      <alignment horizontal="center" vertical="center"/>
    </xf>
    <xf numFmtId="4" fontId="50" fillId="25" borderId="0" xfId="0" applyNumberFormat="1" applyFont="1" applyFill="1" applyBorder="1" applyAlignment="1">
      <alignment horizontal="center" vertical="center"/>
    </xf>
    <xf numFmtId="4" fontId="50" fillId="25" borderId="57" xfId="0" applyNumberFormat="1" applyFont="1" applyFill="1" applyBorder="1" applyAlignment="1">
      <alignment horizontal="center" vertical="center"/>
    </xf>
    <xf numFmtId="0" fontId="50" fillId="25" borderId="60" xfId="0" applyFont="1" applyFill="1" applyBorder="1" applyAlignment="1">
      <alignment horizontal="center" vertical="center" wrapText="1"/>
    </xf>
    <xf numFmtId="0" fontId="50" fillId="25" borderId="60" xfId="0" applyFont="1" applyFill="1" applyBorder="1" applyAlignment="1">
      <alignment horizontal="center" vertical="center"/>
    </xf>
    <xf numFmtId="4" fontId="50" fillId="25" borderId="60" xfId="0" applyNumberFormat="1" applyFont="1" applyFill="1" applyBorder="1" applyAlignment="1">
      <alignment horizontal="center" vertical="center"/>
    </xf>
    <xf numFmtId="4" fontId="50" fillId="25" borderId="61" xfId="0" applyNumberFormat="1" applyFont="1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7" borderId="62" xfId="0" applyFont="1" applyFill="1" applyBorder="1" applyAlignment="1">
      <alignment horizontal="center" vertical="center"/>
    </xf>
    <xf numFmtId="0" fontId="31" fillId="7" borderId="63" xfId="0" applyFont="1" applyFill="1" applyBorder="1" applyAlignment="1">
      <alignment horizontal="center" vertical="center"/>
    </xf>
    <xf numFmtId="0" fontId="32" fillId="7" borderId="63" xfId="0" applyFont="1" applyFill="1" applyBorder="1" applyAlignment="1">
      <alignment horizontal="center" vertical="center"/>
    </xf>
    <xf numFmtId="0" fontId="32" fillId="7" borderId="64" xfId="0" applyFont="1" applyFill="1" applyBorder="1" applyAlignment="1">
      <alignment horizontal="center" vertical="center"/>
    </xf>
    <xf numFmtId="168" fontId="19" fillId="5" borderId="58" xfId="0" applyNumberFormat="1" applyFont="1" applyFill="1" applyBorder="1" applyAlignment="1">
      <alignment horizontal="center" vertical="center" wrapText="1"/>
    </xf>
    <xf numFmtId="166" fontId="14" fillId="5" borderId="0" xfId="0" applyNumberFormat="1" applyFont="1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23" fillId="6" borderId="58" xfId="1" applyFont="1" applyFill="1" applyBorder="1" applyAlignment="1">
      <alignment horizontal="center" vertical="center" wrapText="1"/>
    </xf>
    <xf numFmtId="9" fontId="0" fillId="6" borderId="0" xfId="0" applyNumberFormat="1" applyFill="1" applyBorder="1" applyAlignment="1">
      <alignment horizontal="center" vertical="center"/>
    </xf>
    <xf numFmtId="0" fontId="28" fillId="5" borderId="58" xfId="1" applyFont="1" applyFill="1" applyBorder="1" applyAlignment="1">
      <alignment horizontal="center" vertical="center"/>
    </xf>
    <xf numFmtId="166" fontId="9" fillId="5" borderId="0" xfId="0" applyNumberFormat="1" applyFont="1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9" fontId="0" fillId="5" borderId="0" xfId="0" applyNumberFormat="1" applyFill="1" applyBorder="1" applyAlignment="1">
      <alignment horizontal="center" vertical="center"/>
    </xf>
    <xf numFmtId="166" fontId="0" fillId="5" borderId="0" xfId="0" applyNumberFormat="1" applyFill="1" applyBorder="1" applyAlignment="1">
      <alignment horizontal="center" vertical="center"/>
    </xf>
    <xf numFmtId="0" fontId="29" fillId="5" borderId="58" xfId="1" applyFont="1" applyFill="1" applyBorder="1" applyAlignment="1">
      <alignment horizontal="center" vertical="center"/>
    </xf>
    <xf numFmtId="169" fontId="0" fillId="5" borderId="0" xfId="0" applyNumberFormat="1" applyFill="1" applyBorder="1" applyAlignment="1">
      <alignment horizontal="center" vertical="center"/>
    </xf>
    <xf numFmtId="169" fontId="0" fillId="5" borderId="57" xfId="0" applyNumberFormat="1" applyFill="1" applyBorder="1" applyAlignment="1">
      <alignment horizontal="center" vertical="center"/>
    </xf>
    <xf numFmtId="0" fontId="28" fillId="6" borderId="59" xfId="1" applyFont="1" applyFill="1" applyBorder="1" applyAlignment="1">
      <alignment horizontal="center" vertical="center"/>
    </xf>
    <xf numFmtId="166" fontId="9" fillId="6" borderId="60" xfId="0" applyNumberFormat="1" applyFont="1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67" fillId="4" borderId="62" xfId="0" applyFont="1" applyFill="1" applyBorder="1" applyAlignment="1">
      <alignment horizontal="center" vertical="center"/>
    </xf>
    <xf numFmtId="0" fontId="67" fillId="4" borderId="63" xfId="0" applyFont="1" applyFill="1" applyBorder="1" applyAlignment="1">
      <alignment horizontal="center" vertical="center"/>
    </xf>
    <xf numFmtId="168" fontId="68" fillId="4" borderId="63" xfId="0" applyNumberFormat="1" applyFont="1" applyFill="1" applyBorder="1" applyAlignment="1">
      <alignment horizontal="center" vertical="center" wrapText="1"/>
    </xf>
    <xf numFmtId="168" fontId="68" fillId="4" borderId="64" xfId="0" applyNumberFormat="1" applyFont="1" applyFill="1" applyBorder="1" applyAlignment="1">
      <alignment horizontal="center" vertical="center" wrapText="1"/>
    </xf>
    <xf numFmtId="168" fontId="69" fillId="6" borderId="58" xfId="0" applyNumberFormat="1" applyFont="1" applyFill="1" applyBorder="1" applyAlignment="1">
      <alignment horizontal="center" vertical="center" wrapText="1"/>
    </xf>
    <xf numFmtId="169" fontId="69" fillId="6" borderId="0" xfId="0" applyNumberFormat="1" applyFont="1" applyFill="1" applyBorder="1" applyAlignment="1">
      <alignment horizontal="center" vertical="center"/>
    </xf>
    <xf numFmtId="169" fontId="69" fillId="6" borderId="57" xfId="0" applyNumberFormat="1" applyFont="1" applyFill="1" applyBorder="1" applyAlignment="1">
      <alignment horizontal="center" vertical="center"/>
    </xf>
    <xf numFmtId="168" fontId="70" fillId="5" borderId="58" xfId="0" applyNumberFormat="1" applyFont="1" applyFill="1" applyBorder="1" applyAlignment="1">
      <alignment horizontal="center" vertical="center" wrapText="1"/>
    </xf>
    <xf numFmtId="168" fontId="71" fillId="5" borderId="0" xfId="0" applyNumberFormat="1" applyFont="1" applyFill="1" applyBorder="1" applyAlignment="1">
      <alignment horizontal="center" vertical="center"/>
    </xf>
    <xf numFmtId="168" fontId="29" fillId="5" borderId="0" xfId="0" applyNumberFormat="1" applyFont="1" applyFill="1" applyBorder="1" applyAlignment="1">
      <alignment horizontal="center" vertical="center"/>
    </xf>
    <xf numFmtId="168" fontId="29" fillId="5" borderId="57" xfId="0" applyNumberFormat="1" applyFont="1" applyFill="1" applyBorder="1" applyAlignment="1">
      <alignment horizontal="center" vertical="center"/>
    </xf>
    <xf numFmtId="168" fontId="71" fillId="5" borderId="58" xfId="0" applyNumberFormat="1" applyFont="1" applyFill="1" applyBorder="1" applyAlignment="1">
      <alignment horizontal="center" vertical="center" wrapText="1"/>
    </xf>
    <xf numFmtId="174" fontId="71" fillId="5" borderId="0" xfId="0" applyNumberFormat="1" applyFont="1" applyFill="1" applyBorder="1" applyAlignment="1">
      <alignment horizontal="center" vertical="center"/>
    </xf>
    <xf numFmtId="174" fontId="71" fillId="5" borderId="57" xfId="0" applyNumberFormat="1" applyFont="1" applyFill="1" applyBorder="1" applyAlignment="1">
      <alignment horizontal="center" vertical="center"/>
    </xf>
    <xf numFmtId="168" fontId="72" fillId="2" borderId="58" xfId="0" applyNumberFormat="1" applyFont="1" applyFill="1" applyBorder="1" applyAlignment="1">
      <alignment horizontal="center" vertical="center"/>
    </xf>
    <xf numFmtId="174" fontId="70" fillId="2" borderId="0" xfId="0" applyNumberFormat="1" applyFont="1" applyFill="1" applyBorder="1" applyAlignment="1">
      <alignment horizontal="center" vertical="center"/>
    </xf>
    <xf numFmtId="174" fontId="70" fillId="2" borderId="57" xfId="0" applyNumberFormat="1" applyFont="1" applyFill="1" applyBorder="1" applyAlignment="1">
      <alignment horizontal="center" vertical="center"/>
    </xf>
    <xf numFmtId="174" fontId="29" fillId="5" borderId="0" xfId="0" applyNumberFormat="1" applyFont="1" applyFill="1" applyBorder="1" applyAlignment="1">
      <alignment horizontal="center" vertical="center"/>
    </xf>
    <xf numFmtId="174" fontId="29" fillId="5" borderId="57" xfId="0" applyNumberFormat="1" applyFont="1" applyFill="1" applyBorder="1" applyAlignment="1">
      <alignment horizontal="center" vertical="center"/>
    </xf>
    <xf numFmtId="168" fontId="73" fillId="5" borderId="58" xfId="0" applyNumberFormat="1" applyFont="1" applyFill="1" applyBorder="1" applyAlignment="1">
      <alignment horizontal="center" vertical="center" wrapText="1"/>
    </xf>
    <xf numFmtId="174" fontId="73" fillId="5" borderId="0" xfId="5" applyNumberFormat="1" applyFont="1" applyFill="1" applyBorder="1" applyAlignment="1">
      <alignment horizontal="center" vertical="center"/>
    </xf>
    <xf numFmtId="174" fontId="73" fillId="5" borderId="57" xfId="5" applyNumberFormat="1" applyFont="1" applyFill="1" applyBorder="1" applyAlignment="1">
      <alignment horizontal="center" vertical="center"/>
    </xf>
    <xf numFmtId="168" fontId="72" fillId="2" borderId="59" xfId="0" applyNumberFormat="1" applyFont="1" applyFill="1" applyBorder="1" applyAlignment="1">
      <alignment horizontal="center" vertical="center"/>
    </xf>
    <xf numFmtId="174" fontId="70" fillId="2" borderId="60" xfId="0" applyNumberFormat="1" applyFont="1" applyFill="1" applyBorder="1" applyAlignment="1">
      <alignment horizontal="center" vertical="center"/>
    </xf>
    <xf numFmtId="174" fontId="70" fillId="2" borderId="61" xfId="0" applyNumberFormat="1" applyFont="1" applyFill="1" applyBorder="1" applyAlignment="1">
      <alignment horizontal="center" vertical="center"/>
    </xf>
    <xf numFmtId="0" fontId="31" fillId="7" borderId="64" xfId="0" applyFont="1" applyFill="1" applyBorder="1" applyAlignment="1">
      <alignment horizontal="center" vertical="center"/>
    </xf>
    <xf numFmtId="168" fontId="19" fillId="2" borderId="58" xfId="0" applyNumberFormat="1" applyFont="1" applyFill="1" applyBorder="1" applyAlignment="1">
      <alignment horizontal="center" vertical="center" wrapText="1"/>
    </xf>
    <xf numFmtId="169" fontId="34" fillId="2" borderId="0" xfId="0" applyNumberFormat="1" applyFont="1" applyFill="1" applyBorder="1" applyAlignment="1">
      <alignment horizontal="center" vertical="center"/>
    </xf>
    <xf numFmtId="169" fontId="19" fillId="2" borderId="0" xfId="0" applyNumberFormat="1" applyFont="1" applyFill="1" applyBorder="1" applyAlignment="1">
      <alignment horizontal="center" vertical="center"/>
    </xf>
    <xf numFmtId="169" fontId="19" fillId="2" borderId="57" xfId="0" applyNumberFormat="1" applyFont="1" applyFill="1" applyBorder="1" applyAlignment="1">
      <alignment horizontal="center" vertical="center"/>
    </xf>
    <xf numFmtId="168" fontId="24" fillId="8" borderId="58" xfId="0" applyNumberFormat="1" applyFont="1" applyFill="1" applyBorder="1" applyAlignment="1">
      <alignment horizontal="center" vertical="center" wrapText="1"/>
    </xf>
    <xf numFmtId="168" fontId="21" fillId="8" borderId="0" xfId="0" applyNumberFormat="1" applyFont="1" applyFill="1" applyBorder="1" applyAlignment="1">
      <alignment horizontal="center" vertical="center"/>
    </xf>
    <xf numFmtId="168" fontId="0" fillId="8" borderId="0" xfId="0" applyNumberFormat="1" applyFill="1" applyBorder="1" applyAlignment="1">
      <alignment horizontal="center" vertical="center"/>
    </xf>
    <xf numFmtId="168" fontId="0" fillId="8" borderId="57" xfId="0" applyNumberFormat="1" applyFill="1" applyBorder="1" applyAlignment="1">
      <alignment horizontal="center" vertical="center"/>
    </xf>
    <xf numFmtId="168" fontId="25" fillId="9" borderId="58" xfId="0" applyNumberFormat="1" applyFont="1" applyFill="1" applyBorder="1" applyAlignment="1">
      <alignment horizontal="center" vertical="center" wrapText="1"/>
    </xf>
    <xf numFmtId="168" fontId="21" fillId="9" borderId="0" xfId="0" applyNumberFormat="1" applyFont="1" applyFill="1" applyBorder="1" applyAlignment="1">
      <alignment horizontal="center" vertical="center"/>
    </xf>
    <xf numFmtId="169" fontId="21" fillId="9" borderId="0" xfId="0" applyNumberFormat="1" applyFont="1" applyFill="1" applyBorder="1" applyAlignment="1">
      <alignment horizontal="center" vertical="center"/>
    </xf>
    <xf numFmtId="169" fontId="21" fillId="9" borderId="57" xfId="0" applyNumberFormat="1" applyFont="1" applyFill="1" applyBorder="1" applyAlignment="1">
      <alignment horizontal="center" vertical="center"/>
    </xf>
    <xf numFmtId="168" fontId="24" fillId="2" borderId="58" xfId="0" applyNumberFormat="1" applyFont="1" applyFill="1" applyBorder="1" applyAlignment="1">
      <alignment horizontal="center" vertical="center" wrapText="1"/>
    </xf>
    <xf numFmtId="168" fontId="20" fillId="2" borderId="0" xfId="0" applyNumberFormat="1" applyFont="1" applyFill="1" applyBorder="1" applyAlignment="1">
      <alignment horizontal="center" vertical="center"/>
    </xf>
    <xf numFmtId="169" fontId="20" fillId="2" borderId="0" xfId="0" applyNumberFormat="1" applyFont="1" applyFill="1" applyBorder="1" applyAlignment="1">
      <alignment horizontal="center" vertical="center"/>
    </xf>
    <xf numFmtId="169" fontId="20" fillId="2" borderId="57" xfId="0" applyNumberFormat="1" applyFont="1" applyFill="1" applyBorder="1" applyAlignment="1">
      <alignment horizontal="center" vertical="center"/>
    </xf>
    <xf numFmtId="168" fontId="25" fillId="8" borderId="58" xfId="0" applyNumberFormat="1" applyFont="1" applyFill="1" applyBorder="1" applyAlignment="1">
      <alignment horizontal="center" vertical="center" wrapText="1"/>
    </xf>
    <xf numFmtId="168" fontId="20" fillId="8" borderId="0" xfId="0" applyNumberFormat="1" applyFont="1" applyFill="1" applyBorder="1" applyAlignment="1">
      <alignment horizontal="center" vertical="center"/>
    </xf>
    <xf numFmtId="168" fontId="20" fillId="0" borderId="57" xfId="0" applyNumberFormat="1" applyFont="1" applyFill="1" applyBorder="1" applyAlignment="1">
      <alignment horizontal="center" vertical="center"/>
    </xf>
    <xf numFmtId="169" fontId="21" fillId="8" borderId="0" xfId="0" applyNumberFormat="1" applyFont="1" applyFill="1" applyBorder="1" applyAlignment="1">
      <alignment horizontal="center" vertical="center"/>
    </xf>
    <xf numFmtId="168" fontId="20" fillId="8" borderId="57" xfId="0" applyNumberFormat="1" applyFont="1" applyFill="1" applyBorder="1" applyAlignment="1">
      <alignment horizontal="center" vertical="center"/>
    </xf>
    <xf numFmtId="168" fontId="21" fillId="4" borderId="0" xfId="0" applyNumberFormat="1" applyFont="1" applyFill="1" applyBorder="1" applyAlignment="1">
      <alignment horizontal="center" vertical="center"/>
    </xf>
    <xf numFmtId="168" fontId="21" fillId="4" borderId="57" xfId="0" applyNumberFormat="1" applyFont="1" applyFill="1" applyBorder="1" applyAlignment="1">
      <alignment horizontal="center" vertical="center"/>
    </xf>
    <xf numFmtId="169" fontId="21" fillId="8" borderId="57" xfId="0" applyNumberFormat="1" applyFont="1" applyFill="1" applyBorder="1" applyAlignment="1">
      <alignment horizontal="center" vertical="center"/>
    </xf>
    <xf numFmtId="168" fontId="24" fillId="2" borderId="59" xfId="0" applyNumberFormat="1" applyFont="1" applyFill="1" applyBorder="1" applyAlignment="1">
      <alignment horizontal="center" vertical="center" wrapText="1"/>
    </xf>
    <xf numFmtId="169" fontId="23" fillId="6" borderId="60" xfId="0" applyNumberFormat="1" applyFont="1" applyFill="1" applyBorder="1" applyAlignment="1">
      <alignment horizontal="center" vertical="center"/>
    </xf>
    <xf numFmtId="169" fontId="23" fillId="6" borderId="61" xfId="0" applyNumberFormat="1" applyFont="1" applyFill="1" applyBorder="1" applyAlignment="1">
      <alignment horizontal="center" vertical="center"/>
    </xf>
    <xf numFmtId="168" fontId="22" fillId="5" borderId="0" xfId="0" applyNumberFormat="1" applyFont="1" applyFill="1" applyBorder="1" applyAlignment="1">
      <alignment horizontal="center" vertical="center"/>
    </xf>
    <xf numFmtId="168" fontId="23" fillId="5" borderId="0" xfId="0" applyNumberFormat="1" applyFont="1" applyFill="1" applyBorder="1" applyAlignment="1">
      <alignment horizontal="center" vertical="center"/>
    </xf>
    <xf numFmtId="168" fontId="24" fillId="5" borderId="0" xfId="0" applyNumberFormat="1" applyFont="1" applyFill="1" applyBorder="1" applyAlignment="1">
      <alignment horizontal="center" vertical="center"/>
    </xf>
    <xf numFmtId="0" fontId="31" fillId="4" borderId="62" xfId="0" applyFont="1" applyFill="1" applyBorder="1" applyAlignment="1">
      <alignment horizontal="center" vertical="center"/>
    </xf>
    <xf numFmtId="0" fontId="31" fillId="4" borderId="63" xfId="0" applyFont="1" applyFill="1" applyBorder="1" applyAlignment="1">
      <alignment horizontal="center" vertical="center"/>
    </xf>
    <xf numFmtId="0" fontId="31" fillId="4" borderId="64" xfId="0" applyFont="1" applyFill="1" applyBorder="1" applyAlignment="1">
      <alignment horizontal="center" vertical="center"/>
    </xf>
    <xf numFmtId="168" fontId="21" fillId="2" borderId="0" xfId="0" applyNumberFormat="1" applyFont="1" applyFill="1" applyBorder="1" applyAlignment="1">
      <alignment horizontal="center" vertical="center"/>
    </xf>
    <xf numFmtId="168" fontId="20" fillId="5" borderId="57" xfId="0" applyNumberFormat="1" applyFont="1" applyFill="1" applyBorder="1" applyAlignment="1">
      <alignment horizontal="center" vertical="center"/>
    </xf>
    <xf numFmtId="170" fontId="20" fillId="5" borderId="0" xfId="0" applyNumberFormat="1" applyFont="1" applyFill="1" applyBorder="1" applyAlignment="1">
      <alignment horizontal="center" vertical="center"/>
    </xf>
    <xf numFmtId="170" fontId="23" fillId="4" borderId="0" xfId="5" applyNumberFormat="1" applyFont="1" applyFill="1" applyBorder="1" applyAlignment="1">
      <alignment horizontal="center" vertical="center"/>
    </xf>
    <xf numFmtId="10" fontId="21" fillId="7" borderId="0" xfId="0" applyNumberFormat="1" applyFont="1" applyFill="1" applyBorder="1" applyAlignment="1">
      <alignment horizontal="center" vertical="center"/>
    </xf>
    <xf numFmtId="168" fontId="21" fillId="7" borderId="0" xfId="0" applyNumberFormat="1" applyFont="1" applyFill="1" applyBorder="1" applyAlignment="1">
      <alignment horizontal="center" vertical="center"/>
    </xf>
    <xf numFmtId="168" fontId="21" fillId="7" borderId="57" xfId="0" applyNumberFormat="1" applyFont="1" applyFill="1" applyBorder="1" applyAlignment="1">
      <alignment horizontal="center" vertical="center"/>
    </xf>
    <xf numFmtId="169" fontId="21" fillId="3" borderId="0" xfId="0" applyNumberFormat="1" applyFont="1" applyFill="1" applyBorder="1" applyAlignment="1">
      <alignment horizontal="center" vertical="center"/>
    </xf>
    <xf numFmtId="169" fontId="21" fillId="7" borderId="0" xfId="0" applyNumberFormat="1" applyFont="1" applyFill="1" applyBorder="1" applyAlignment="1">
      <alignment horizontal="center" vertical="center"/>
    </xf>
    <xf numFmtId="169" fontId="21" fillId="7" borderId="57" xfId="0" applyNumberFormat="1" applyFont="1" applyFill="1" applyBorder="1" applyAlignment="1">
      <alignment horizontal="center" vertical="center"/>
    </xf>
    <xf numFmtId="9" fontId="23" fillId="4" borderId="0" xfId="5" applyNumberFormat="1" applyFont="1" applyFill="1" applyBorder="1" applyAlignment="1">
      <alignment horizontal="center" vertical="center"/>
    </xf>
    <xf numFmtId="10" fontId="21" fillId="4" borderId="0" xfId="0" applyNumberFormat="1" applyFont="1" applyFill="1" applyBorder="1" applyAlignment="1">
      <alignment horizontal="center" vertical="center"/>
    </xf>
    <xf numFmtId="169" fontId="24" fillId="5" borderId="0" xfId="0" applyNumberFormat="1" applyFont="1" applyFill="1" applyBorder="1" applyAlignment="1">
      <alignment horizontal="center" vertical="center"/>
    </xf>
    <xf numFmtId="169" fontId="24" fillId="5" borderId="57" xfId="0" applyNumberFormat="1" applyFont="1" applyFill="1" applyBorder="1" applyAlignment="1">
      <alignment horizontal="center" vertical="center"/>
    </xf>
    <xf numFmtId="168" fontId="33" fillId="4" borderId="0" xfId="0" applyNumberFormat="1" applyFont="1" applyFill="1" applyBorder="1" applyAlignment="1">
      <alignment horizontal="center" vertical="center"/>
    </xf>
    <xf numFmtId="168" fontId="25" fillId="4" borderId="0" xfId="0" applyNumberFormat="1" applyFont="1" applyFill="1" applyBorder="1" applyAlignment="1">
      <alignment horizontal="center" vertical="center"/>
    </xf>
    <xf numFmtId="168" fontId="25" fillId="2" borderId="0" xfId="0" applyNumberFormat="1" applyFont="1" applyFill="1" applyBorder="1" applyAlignment="1">
      <alignment horizontal="center" vertical="center"/>
    </xf>
    <xf numFmtId="169" fontId="24" fillId="2" borderId="0" xfId="0" applyNumberFormat="1" applyFont="1" applyFill="1" applyBorder="1" applyAlignment="1">
      <alignment horizontal="center" vertical="center"/>
    </xf>
    <xf numFmtId="169" fontId="24" fillId="2" borderId="57" xfId="0" applyNumberFormat="1" applyFont="1" applyFill="1" applyBorder="1" applyAlignment="1">
      <alignment horizontal="center" vertical="center"/>
    </xf>
    <xf numFmtId="168" fontId="27" fillId="2" borderId="59" xfId="0" applyNumberFormat="1" applyFont="1" applyFill="1" applyBorder="1" applyAlignment="1">
      <alignment horizontal="center" vertical="center" wrapText="1"/>
    </xf>
    <xf numFmtId="9" fontId="24" fillId="2" borderId="60" xfId="5" applyNumberFormat="1" applyFont="1" applyFill="1" applyBorder="1" applyAlignment="1">
      <alignment horizontal="center" vertical="center"/>
    </xf>
    <xf numFmtId="9" fontId="24" fillId="2" borderId="61" xfId="5" applyNumberFormat="1" applyFont="1" applyFill="1" applyBorder="1" applyAlignment="1">
      <alignment horizontal="center" vertical="center"/>
    </xf>
    <xf numFmtId="0" fontId="18" fillId="24" borderId="62" xfId="0" applyFont="1" applyFill="1" applyBorder="1" applyAlignment="1">
      <alignment horizontal="center" vertical="center"/>
    </xf>
    <xf numFmtId="10" fontId="18" fillId="24" borderId="64" xfId="0" applyNumberFormat="1" applyFont="1" applyFill="1" applyBorder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0" fontId="18" fillId="24" borderId="59" xfId="0" applyFont="1" applyFill="1" applyBorder="1" applyAlignment="1">
      <alignment horizontal="center" vertical="center"/>
    </xf>
    <xf numFmtId="174" fontId="18" fillId="24" borderId="61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169" fontId="21" fillId="5" borderId="0" xfId="0" applyNumberFormat="1" applyFon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/>
    </xf>
    <xf numFmtId="10" fontId="0" fillId="5" borderId="44" xfId="0" applyNumberForma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2" fontId="0" fillId="5" borderId="44" xfId="0" applyNumberFormat="1" applyFill="1" applyBorder="1" applyAlignment="1">
      <alignment horizontal="center" vertical="center"/>
    </xf>
    <xf numFmtId="4" fontId="0" fillId="5" borderId="44" xfId="0" applyNumberFormat="1" applyFill="1" applyBorder="1" applyAlignment="1">
      <alignment horizontal="center" vertical="center"/>
    </xf>
    <xf numFmtId="3" fontId="0" fillId="5" borderId="44" xfId="0" applyNumberFormat="1" applyFill="1" applyBorder="1" applyAlignment="1">
      <alignment horizontal="center" vertical="center"/>
    </xf>
    <xf numFmtId="10" fontId="0" fillId="16" borderId="44" xfId="0" applyNumberFormat="1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10" fontId="0" fillId="16" borderId="47" xfId="0" applyNumberForma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4" fontId="45" fillId="5" borderId="22" xfId="0" applyNumberFormat="1" applyFont="1" applyFill="1" applyBorder="1" applyAlignment="1">
      <alignment horizontal="center" vertical="center"/>
    </xf>
    <xf numFmtId="0" fontId="55" fillId="4" borderId="57" xfId="0" applyFont="1" applyFill="1" applyBorder="1" applyAlignment="1">
      <alignment horizontal="center" vertical="center" wrapText="1"/>
    </xf>
    <xf numFmtId="0" fontId="46" fillId="0" borderId="66" xfId="0" applyFont="1" applyBorder="1" applyAlignment="1">
      <alignment horizontal="center" vertical="center"/>
    </xf>
    <xf numFmtId="0" fontId="44" fillId="6" borderId="58" xfId="0" applyFont="1" applyFill="1" applyBorder="1" applyAlignment="1">
      <alignment horizontal="center" vertical="center"/>
    </xf>
    <xf numFmtId="0" fontId="28" fillId="6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171" fontId="48" fillId="2" borderId="57" xfId="0" applyNumberFormat="1" applyFont="1" applyFill="1" applyBorder="1" applyAlignment="1">
      <alignment horizontal="center" vertical="center"/>
    </xf>
    <xf numFmtId="171" fontId="57" fillId="2" borderId="54" xfId="0" applyNumberFormat="1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3" fontId="48" fillId="5" borderId="0" xfId="0" applyNumberFormat="1" applyFont="1" applyFill="1" applyBorder="1" applyAlignment="1">
      <alignment horizontal="center" vertical="center"/>
    </xf>
    <xf numFmtId="3" fontId="48" fillId="5" borderId="11" xfId="0" applyNumberFormat="1" applyFont="1" applyFill="1" applyBorder="1" applyAlignment="1">
      <alignment horizontal="center" vertical="center"/>
    </xf>
    <xf numFmtId="177" fontId="0" fillId="5" borderId="0" xfId="0" applyNumberForma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center" vertical="center"/>
    </xf>
    <xf numFmtId="171" fontId="46" fillId="0" borderId="4" xfId="0" applyNumberFormat="1" applyFont="1" applyFill="1" applyBorder="1" applyAlignment="1">
      <alignment horizontal="center" vertical="center"/>
    </xf>
    <xf numFmtId="171" fontId="46" fillId="0" borderId="6" xfId="0" applyNumberFormat="1" applyFont="1" applyFill="1" applyBorder="1" applyAlignment="1">
      <alignment horizontal="center" vertical="center"/>
    </xf>
    <xf numFmtId="171" fontId="46" fillId="0" borderId="67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171" fontId="10" fillId="12" borderId="0" xfId="0" applyNumberFormat="1" applyFont="1" applyFill="1" applyBorder="1" applyAlignment="1">
      <alignment horizontal="center" vertical="center"/>
    </xf>
    <xf numFmtId="171" fontId="28" fillId="12" borderId="0" xfId="0" applyNumberFormat="1" applyFont="1" applyFill="1" applyBorder="1" applyAlignment="1">
      <alignment horizontal="center" vertical="center"/>
    </xf>
    <xf numFmtId="10" fontId="46" fillId="3" borderId="4" xfId="0" applyNumberFormat="1" applyFont="1" applyFill="1" applyBorder="1" applyAlignment="1" applyProtection="1">
      <alignment horizontal="center" vertical="center"/>
      <protection locked="0"/>
    </xf>
    <xf numFmtId="2" fontId="46" fillId="3" borderId="4" xfId="0" applyNumberFormat="1" applyFont="1" applyFill="1" applyBorder="1" applyAlignment="1" applyProtection="1">
      <alignment horizontal="center" vertical="center"/>
      <protection locked="0"/>
    </xf>
    <xf numFmtId="3" fontId="46" fillId="0" borderId="5" xfId="0" applyNumberFormat="1" applyFont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 wrapText="1"/>
    </xf>
    <xf numFmtId="0" fontId="55" fillId="4" borderId="17" xfId="0" applyFont="1" applyFill="1" applyBorder="1" applyAlignment="1">
      <alignment horizontal="center" vertical="center" wrapText="1"/>
    </xf>
    <xf numFmtId="0" fontId="30" fillId="2" borderId="70" xfId="0" applyFont="1" applyFill="1" applyBorder="1" applyAlignment="1">
      <alignment horizontal="center" vertical="center"/>
    </xf>
    <xf numFmtId="4" fontId="30" fillId="2" borderId="8" xfId="0" applyNumberFormat="1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79" fillId="2" borderId="72" xfId="0" applyFont="1" applyFill="1" applyBorder="1" applyAlignment="1">
      <alignment horizontal="center" vertical="center"/>
    </xf>
    <xf numFmtId="0" fontId="10" fillId="5" borderId="74" xfId="0" applyFont="1" applyFill="1" applyBorder="1" applyAlignment="1">
      <alignment horizontal="center" vertical="center"/>
    </xf>
    <xf numFmtId="2" fontId="46" fillId="5" borderId="73" xfId="0" applyNumberFormat="1" applyFont="1" applyFill="1" applyBorder="1" applyAlignment="1">
      <alignment horizontal="center" vertical="center"/>
    </xf>
    <xf numFmtId="10" fontId="0" fillId="5" borderId="0" xfId="0" applyNumberFormat="1" applyFill="1" applyBorder="1" applyAlignment="1">
      <alignment horizontal="center" vertical="center"/>
    </xf>
    <xf numFmtId="168" fontId="24" fillId="5" borderId="0" xfId="0" applyNumberFormat="1" applyFont="1" applyFill="1" applyBorder="1" applyAlignment="1">
      <alignment horizontal="center" vertical="center" wrapText="1"/>
    </xf>
    <xf numFmtId="169" fontId="23" fillId="5" borderId="0" xfId="0" applyNumberFormat="1" applyFont="1" applyFill="1" applyBorder="1" applyAlignment="1">
      <alignment horizontal="center" vertical="center"/>
    </xf>
    <xf numFmtId="169" fontId="23" fillId="6" borderId="69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0" fillId="26" borderId="44" xfId="0" applyFill="1" applyBorder="1" applyAlignment="1">
      <alignment horizontal="center" vertical="center" wrapText="1"/>
    </xf>
    <xf numFmtId="0" fontId="11" fillId="26" borderId="44" xfId="0" applyFont="1" applyFill="1" applyBorder="1" applyAlignment="1">
      <alignment horizontal="center" vertical="center"/>
    </xf>
    <xf numFmtId="175" fontId="14" fillId="26" borderId="45" xfId="0" applyNumberFormat="1" applyFont="1" applyFill="1" applyBorder="1" applyAlignment="1">
      <alignment horizontal="center" vertical="center"/>
    </xf>
    <xf numFmtId="175" fontId="0" fillId="26" borderId="45" xfId="0" applyNumberFormat="1" applyFill="1" applyBorder="1" applyAlignment="1">
      <alignment horizontal="center" vertical="center"/>
    </xf>
    <xf numFmtId="3" fontId="30" fillId="2" borderId="71" xfId="0" applyNumberFormat="1" applyFont="1" applyFill="1" applyBorder="1" applyAlignment="1">
      <alignment horizontal="center" vertical="center"/>
    </xf>
    <xf numFmtId="3" fontId="30" fillId="2" borderId="8" xfId="0" applyNumberFormat="1" applyFont="1" applyFill="1" applyBorder="1" applyAlignment="1">
      <alignment horizontal="center" vertical="center"/>
    </xf>
    <xf numFmtId="49" fontId="80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77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78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58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49" fillId="4" borderId="58" xfId="0" applyFont="1" applyFill="1" applyBorder="1" applyAlignment="1">
      <alignment horizontal="center" vertical="center" wrapText="1"/>
    </xf>
    <xf numFmtId="0" fontId="49" fillId="4" borderId="59" xfId="0" applyFont="1" applyFill="1" applyBorder="1" applyAlignment="1">
      <alignment horizontal="center" vertical="center" wrapText="1"/>
    </xf>
    <xf numFmtId="0" fontId="44" fillId="19" borderId="4" xfId="0" applyFont="1" applyFill="1" applyBorder="1" applyAlignment="1">
      <alignment horizontal="center" vertical="center"/>
    </xf>
    <xf numFmtId="0" fontId="44" fillId="19" borderId="3" xfId="0" applyFont="1" applyFill="1" applyBorder="1" applyAlignment="1">
      <alignment horizontal="center" vertical="center"/>
    </xf>
    <xf numFmtId="0" fontId="44" fillId="19" borderId="5" xfId="0" applyFont="1" applyFill="1" applyBorder="1" applyAlignment="1">
      <alignment horizontal="center" vertical="center"/>
    </xf>
    <xf numFmtId="0" fontId="44" fillId="11" borderId="4" xfId="0" applyFont="1" applyFill="1" applyBorder="1" applyAlignment="1">
      <alignment horizontal="center" vertical="center"/>
    </xf>
    <xf numFmtId="0" fontId="44" fillId="11" borderId="56" xfId="0" applyFont="1" applyFill="1" applyBorder="1" applyAlignment="1">
      <alignment horizontal="center" vertical="center"/>
    </xf>
    <xf numFmtId="0" fontId="28" fillId="2" borderId="53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44" fillId="11" borderId="16" xfId="0" applyFont="1" applyFill="1" applyBorder="1" applyAlignment="1">
      <alignment horizontal="center" vertical="center"/>
    </xf>
    <xf numFmtId="0" fontId="44" fillId="11" borderId="0" xfId="0" applyFont="1" applyFill="1" applyBorder="1" applyAlignment="1">
      <alignment horizontal="center" vertical="center"/>
    </xf>
    <xf numFmtId="0" fontId="44" fillId="11" borderId="57" xfId="0" applyFont="1" applyFill="1" applyBorder="1" applyAlignment="1">
      <alignment horizontal="center" vertical="center"/>
    </xf>
    <xf numFmtId="0" fontId="44" fillId="4" borderId="51" xfId="0" applyFont="1" applyFill="1" applyBorder="1" applyAlignment="1">
      <alignment horizontal="center" vertical="center"/>
    </xf>
    <xf numFmtId="0" fontId="44" fillId="4" borderId="11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81" fillId="20" borderId="48" xfId="0" applyFont="1" applyFill="1" applyBorder="1" applyAlignment="1">
      <alignment horizontal="center" vertical="center"/>
    </xf>
    <xf numFmtId="0" fontId="81" fillId="20" borderId="49" xfId="0" applyFont="1" applyFill="1" applyBorder="1" applyAlignment="1">
      <alignment horizontal="center" vertical="center"/>
    </xf>
    <xf numFmtId="0" fontId="81" fillId="20" borderId="50" xfId="0" applyFont="1" applyFill="1" applyBorder="1" applyAlignment="1">
      <alignment horizontal="center" vertical="center"/>
    </xf>
    <xf numFmtId="0" fontId="79" fillId="14" borderId="55" xfId="0" applyFont="1" applyFill="1" applyBorder="1" applyAlignment="1">
      <alignment horizontal="center" vertical="center"/>
    </xf>
    <xf numFmtId="0" fontId="79" fillId="14" borderId="3" xfId="0" applyFont="1" applyFill="1" applyBorder="1" applyAlignment="1">
      <alignment horizontal="center" vertical="center"/>
    </xf>
    <xf numFmtId="0" fontId="79" fillId="14" borderId="5" xfId="0" applyFont="1" applyFill="1" applyBorder="1" applyAlignment="1">
      <alignment horizontal="center" vertical="center"/>
    </xf>
    <xf numFmtId="0" fontId="28" fillId="2" borderId="51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12" borderId="58" xfId="0" applyFont="1" applyFill="1" applyBorder="1" applyAlignment="1">
      <alignment horizontal="center" vertical="center"/>
    </xf>
    <xf numFmtId="0" fontId="28" fillId="12" borderId="0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81" fillId="4" borderId="18" xfId="0" applyFont="1" applyFill="1" applyBorder="1" applyAlignment="1">
      <alignment horizontal="center" vertical="center"/>
    </xf>
    <xf numFmtId="0" fontId="81" fillId="4" borderId="19" xfId="0" applyFont="1" applyFill="1" applyBorder="1" applyAlignment="1">
      <alignment horizontal="center" vertical="center"/>
    </xf>
    <xf numFmtId="0" fontId="81" fillId="4" borderId="37" xfId="0" applyFont="1" applyFill="1" applyBorder="1" applyAlignment="1">
      <alignment horizontal="center" vertical="center"/>
    </xf>
    <xf numFmtId="0" fontId="81" fillId="4" borderId="38" xfId="0" applyFont="1" applyFill="1" applyBorder="1" applyAlignment="1">
      <alignment horizontal="center" vertical="center"/>
    </xf>
    <xf numFmtId="0" fontId="51" fillId="2" borderId="58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26" fillId="5" borderId="58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59" fillId="4" borderId="14" xfId="0" applyFont="1" applyFill="1" applyBorder="1" applyAlignment="1">
      <alignment horizontal="center" vertical="center"/>
    </xf>
    <xf numFmtId="0" fontId="59" fillId="4" borderId="11" xfId="0" applyFont="1" applyFill="1" applyBorder="1" applyAlignment="1">
      <alignment horizontal="center" vertical="center"/>
    </xf>
    <xf numFmtId="0" fontId="59" fillId="4" borderId="27" xfId="0" applyFont="1" applyFill="1" applyBorder="1" applyAlignment="1">
      <alignment horizontal="center" vertical="center"/>
    </xf>
    <xf numFmtId="0" fontId="51" fillId="2" borderId="51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26" fillId="5" borderId="53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6" borderId="48" xfId="0" applyFont="1" applyFill="1" applyBorder="1" applyAlignment="1">
      <alignment horizontal="center" vertical="center"/>
    </xf>
    <xf numFmtId="0" fontId="26" fillId="6" borderId="49" xfId="0" applyFont="1" applyFill="1" applyBorder="1" applyAlignment="1">
      <alignment horizontal="center" vertical="center"/>
    </xf>
    <xf numFmtId="0" fontId="49" fillId="4" borderId="55" xfId="0" applyFont="1" applyFill="1" applyBorder="1" applyAlignment="1">
      <alignment horizontal="center" vertical="center"/>
    </xf>
    <xf numFmtId="0" fontId="49" fillId="4" borderId="3" xfId="0" applyFont="1" applyFill="1" applyBorder="1" applyAlignment="1">
      <alignment horizontal="center" vertical="center"/>
    </xf>
    <xf numFmtId="0" fontId="49" fillId="4" borderId="56" xfId="0" applyFont="1" applyFill="1" applyBorder="1" applyAlignment="1">
      <alignment horizontal="center" vertical="center"/>
    </xf>
    <xf numFmtId="0" fontId="59" fillId="4" borderId="4" xfId="0" applyFont="1" applyFill="1" applyBorder="1" applyAlignment="1">
      <alignment horizontal="center" vertical="center" wrapText="1"/>
    </xf>
    <xf numFmtId="0" fontId="59" fillId="4" borderId="3" xfId="0" applyFont="1" applyFill="1" applyBorder="1" applyAlignment="1">
      <alignment horizontal="center" vertical="center" wrapText="1"/>
    </xf>
    <xf numFmtId="0" fontId="59" fillId="4" borderId="28" xfId="0" applyFont="1" applyFill="1" applyBorder="1" applyAlignment="1">
      <alignment horizontal="center" vertical="center" wrapText="1"/>
    </xf>
    <xf numFmtId="0" fontId="62" fillId="7" borderId="3" xfId="0" applyFont="1" applyFill="1" applyBorder="1" applyAlignment="1">
      <alignment horizontal="center" vertical="center"/>
    </xf>
    <xf numFmtId="0" fontId="62" fillId="7" borderId="39" xfId="0" applyFont="1" applyFill="1" applyBorder="1" applyAlignment="1">
      <alignment horizontal="center" vertical="center"/>
    </xf>
    <xf numFmtId="0" fontId="26" fillId="5" borderId="59" xfId="0" applyFont="1" applyFill="1" applyBorder="1" applyAlignment="1">
      <alignment horizontal="center" vertical="center"/>
    </xf>
    <xf numFmtId="0" fontId="26" fillId="5" borderId="60" xfId="0" applyFont="1" applyFill="1" applyBorder="1" applyAlignment="1">
      <alignment horizontal="center" vertical="center"/>
    </xf>
    <xf numFmtId="0" fontId="51" fillId="2" borderId="15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51" fillId="2" borderId="32" xfId="0" applyFont="1" applyFill="1" applyBorder="1" applyAlignment="1">
      <alignment horizontal="center" vertical="center" wrapText="1"/>
    </xf>
    <xf numFmtId="0" fontId="30" fillId="21" borderId="0" xfId="0" applyFont="1" applyFill="1" applyBorder="1" applyAlignment="1">
      <alignment horizontal="center" vertical="center"/>
    </xf>
    <xf numFmtId="0" fontId="28" fillId="21" borderId="0" xfId="0" applyFont="1" applyFill="1" applyBorder="1" applyAlignment="1">
      <alignment horizontal="center" vertical="center"/>
    </xf>
    <xf numFmtId="0" fontId="44" fillId="4" borderId="36" xfId="0" applyFont="1" applyFill="1" applyBorder="1" applyAlignment="1">
      <alignment horizontal="center" vertical="center"/>
    </xf>
    <xf numFmtId="0" fontId="44" fillId="4" borderId="37" xfId="0" applyFont="1" applyFill="1" applyBorder="1" applyAlignment="1">
      <alignment horizontal="center" vertical="center"/>
    </xf>
    <xf numFmtId="0" fontId="44" fillId="4" borderId="38" xfId="0" applyFont="1" applyFill="1" applyBorder="1" applyAlignment="1">
      <alignment horizontal="center" vertical="center"/>
    </xf>
    <xf numFmtId="4" fontId="45" fillId="5" borderId="27" xfId="0" applyNumberFormat="1" applyFont="1" applyFill="1" applyBorder="1" applyAlignment="1">
      <alignment horizontal="center" vertical="center"/>
    </xf>
    <xf numFmtId="4" fontId="45" fillId="5" borderId="22" xfId="0" applyNumberFormat="1" applyFont="1" applyFill="1" applyBorder="1" applyAlignment="1">
      <alignment horizontal="center" vertical="center"/>
    </xf>
    <xf numFmtId="4" fontId="45" fillId="5" borderId="28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0" xfId="0" applyNumberFormat="1" applyFont="1" applyFill="1" applyBorder="1" applyAlignment="1">
      <alignment horizontal="center" vertical="center"/>
    </xf>
    <xf numFmtId="4" fontId="10" fillId="5" borderId="7" xfId="0" applyNumberFormat="1" applyFont="1" applyFill="1" applyBorder="1" applyAlignment="1">
      <alignment horizontal="center" vertical="center"/>
    </xf>
    <xf numFmtId="0" fontId="49" fillId="4" borderId="18" xfId="0" applyFont="1" applyFill="1" applyBorder="1" applyAlignment="1">
      <alignment horizontal="center" vertical="center" wrapText="1"/>
    </xf>
    <xf numFmtId="0" fontId="49" fillId="4" borderId="19" xfId="0" applyFont="1" applyFill="1" applyBorder="1" applyAlignment="1">
      <alignment horizontal="center" vertical="center" wrapText="1"/>
    </xf>
    <xf numFmtId="0" fontId="49" fillId="4" borderId="20" xfId="0" applyFont="1" applyFill="1" applyBorder="1" applyAlignment="1">
      <alignment horizontal="center" vertical="center" wrapText="1"/>
    </xf>
    <xf numFmtId="0" fontId="49" fillId="4" borderId="21" xfId="0" applyFont="1" applyFill="1" applyBorder="1" applyAlignment="1">
      <alignment horizontal="center" vertical="center" wrapText="1"/>
    </xf>
    <xf numFmtId="0" fontId="49" fillId="4" borderId="0" xfId="0" applyFont="1" applyFill="1" applyBorder="1" applyAlignment="1">
      <alignment horizontal="center" vertical="center" wrapText="1"/>
    </xf>
    <xf numFmtId="0" fontId="49" fillId="4" borderId="22" xfId="0" applyFont="1" applyFill="1" applyBorder="1" applyAlignment="1">
      <alignment horizontal="center" vertical="center" wrapText="1"/>
    </xf>
    <xf numFmtId="0" fontId="81" fillId="4" borderId="62" xfId="0" applyFont="1" applyFill="1" applyBorder="1" applyAlignment="1">
      <alignment horizontal="center" vertical="center"/>
    </xf>
    <xf numFmtId="0" fontId="81" fillId="4" borderId="63" xfId="0" applyFont="1" applyFill="1" applyBorder="1" applyAlignment="1">
      <alignment horizontal="center" vertical="center"/>
    </xf>
    <xf numFmtId="0" fontId="69" fillId="10" borderId="58" xfId="0" applyFont="1" applyFill="1" applyBorder="1" applyAlignment="1">
      <alignment horizontal="center" vertical="center" wrapText="1"/>
    </xf>
    <xf numFmtId="0" fontId="58" fillId="15" borderId="58" xfId="0" applyFont="1" applyFill="1" applyBorder="1" applyAlignment="1">
      <alignment horizontal="center" vertical="center" wrapText="1"/>
    </xf>
    <xf numFmtId="0" fontId="69" fillId="13" borderId="58" xfId="0" applyFont="1" applyFill="1" applyBorder="1" applyAlignment="1">
      <alignment horizontal="center" vertical="center" wrapText="1"/>
    </xf>
    <xf numFmtId="0" fontId="69" fillId="22" borderId="58" xfId="0" applyFont="1" applyFill="1" applyBorder="1" applyAlignment="1">
      <alignment horizontal="center" vertical="center" wrapText="1"/>
    </xf>
    <xf numFmtId="0" fontId="69" fillId="17" borderId="58" xfId="0" applyFont="1" applyFill="1" applyBorder="1" applyAlignment="1">
      <alignment horizontal="center" vertical="center" wrapText="1"/>
    </xf>
    <xf numFmtId="168" fontId="23" fillId="5" borderId="60" xfId="0" applyNumberFormat="1" applyFont="1" applyFill="1" applyBorder="1" applyAlignment="1">
      <alignment horizontal="center" vertical="center"/>
    </xf>
    <xf numFmtId="0" fontId="82" fillId="5" borderId="65" xfId="0" applyFont="1" applyFill="1" applyBorder="1" applyAlignment="1">
      <alignment horizontal="center" vertical="center"/>
    </xf>
    <xf numFmtId="0" fontId="83" fillId="5" borderId="65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4" fontId="0" fillId="5" borderId="46" xfId="0" applyNumberFormat="1" applyFill="1" applyBorder="1" applyAlignment="1">
      <alignment horizontal="center" vertical="center"/>
    </xf>
    <xf numFmtId="4" fontId="0" fillId="5" borderId="45" xfId="0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0" fillId="26" borderId="43" xfId="0" applyFill="1" applyBorder="1" applyAlignment="1">
      <alignment horizontal="center" vertical="center" wrapText="1"/>
    </xf>
    <xf numFmtId="0" fontId="0" fillId="26" borderId="44" xfId="0" applyFill="1" applyBorder="1" applyAlignment="1">
      <alignment horizontal="center" vertical="center" wrapText="1"/>
    </xf>
    <xf numFmtId="0" fontId="11" fillId="26" borderId="12" xfId="0" applyFont="1" applyFill="1" applyBorder="1" applyAlignment="1">
      <alignment horizontal="center" vertical="center"/>
    </xf>
    <xf numFmtId="0" fontId="11" fillId="26" borderId="13" xfId="0" applyFont="1" applyFill="1" applyBorder="1" applyAlignment="1">
      <alignment horizontal="center" vertical="center"/>
    </xf>
    <xf numFmtId="0" fontId="11" fillId="26" borderId="45" xfId="0" applyFont="1" applyFill="1" applyBorder="1" applyAlignment="1">
      <alignment horizontal="center" vertical="center"/>
    </xf>
    <xf numFmtId="175" fontId="14" fillId="26" borderId="12" xfId="0" applyNumberFormat="1" applyFont="1" applyFill="1" applyBorder="1" applyAlignment="1">
      <alignment horizontal="center" vertical="center"/>
    </xf>
    <xf numFmtId="175" fontId="14" fillId="26" borderId="13" xfId="0" applyNumberFormat="1" applyFont="1" applyFill="1" applyBorder="1" applyAlignment="1">
      <alignment horizontal="center" vertical="center"/>
    </xf>
    <xf numFmtId="175" fontId="14" fillId="26" borderId="45" xfId="0" applyNumberFormat="1" applyFont="1" applyFill="1" applyBorder="1" applyAlignment="1">
      <alignment horizontal="center" vertical="center"/>
    </xf>
  </cellXfs>
  <cellStyles count="6">
    <cellStyle name="Κανονικό" xfId="0" builtinId="0"/>
    <cellStyle name="Κανονικό 2" xfId="1"/>
    <cellStyle name="Κόμμα 2" xfId="3"/>
    <cellStyle name="Νομισματική μονάδα 2" xfId="2"/>
    <cellStyle name="Ποσοστό" xfId="5" builtinId="5"/>
    <cellStyle name="Ποσοστό 2" xfId="4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200"/>
              <a:t>ΕΓΚΑΤΕΣΤΗΜΕΝΟΙ ΛΑΜΠΤΗΡΕΣ ΠΑΛΑΙΟΥ ΤΥΠΟΥ </a:t>
            </a:r>
          </a:p>
        </c:rich>
      </c:tx>
      <c:layout>
        <c:manualLayout>
          <c:xMode val="edge"/>
          <c:yMode val="edge"/>
          <c:x val="9.1133236523851469E-2"/>
          <c:y val="3.41585973922275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03001191419243"/>
          <c:y val="0.24443110810419538"/>
          <c:w val="0.70871633570512049"/>
          <c:h val="0.49060817536647267"/>
        </c:manualLayout>
      </c:layout>
      <c:pieChart>
        <c:varyColors val="1"/>
        <c:ser>
          <c:idx val="0"/>
          <c:order val="0"/>
          <c:tx>
            <c:strRef>
              <c:f>'ΒΑΣΙΚΟ ΣΕΝΑΡΙΟ'!$B$4</c:f>
              <c:strCache>
                <c:ptCount val="1"/>
                <c:pt idx="0">
                  <c:v>ΕΓΚΑΤΕΣΤΗΜΕΝΟΙ 
ΛΑΜΠΤΗΡΕΣ / ΦΩΤΙΣΤΙΚΑ
 ΠΑΛΑΙΟΥ ΤΥΠΟΥ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'ΒΑΣΙΚΟ ΣΕΝΑΡΙΟ'!$C$4:$C$8</c:f>
              <c:strCache>
                <c:ptCount val="5"/>
                <c:pt idx="0">
                  <c:v>Φωτιστικά σώματα τύπου σφαίρας ή φανάρι επί χαμηλού ιστού 70W</c:v>
                </c:pt>
                <c:pt idx="1">
                  <c:v>Φωτιστικά σώματα τύπου σφαίρας ή φανάρι επί χαμηλού ιστού 125W</c:v>
                </c:pt>
                <c:pt idx="2">
                  <c:v>Φωτιστικά σώματα τύπου σφαίρας ή φανάρι επί χαμηλού ιστού 250W</c:v>
                </c:pt>
                <c:pt idx="3">
                  <c:v>Φωτιστικά σώματα οδοφωτισμού επί ιστού ΔΕΗ ή ποδηλατόδρομου 125W</c:v>
                </c:pt>
                <c:pt idx="4">
                  <c:v>Φωτιστικά σώματα οδοφωτισμού επί ψήλου ιστού 250W</c:v>
                </c:pt>
              </c:strCache>
            </c:strRef>
          </c:cat>
          <c:val>
            <c:numRef>
              <c:f>'ΒΑΣΙΚΟ ΣΕΝΑΡΙΟ'!$E$4:$E$8</c:f>
              <c:numCache>
                <c:formatCode>#,##0</c:formatCode>
                <c:ptCount val="5"/>
                <c:pt idx="0">
                  <c:v>500</c:v>
                </c:pt>
                <c:pt idx="1">
                  <c:v>109</c:v>
                </c:pt>
                <c:pt idx="2">
                  <c:v>294</c:v>
                </c:pt>
                <c:pt idx="3">
                  <c:v>3284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D-499F-B2FD-2A5B9B00E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solidFill>
          <a:schemeClr val="bg1">
            <a:lumMod val="65000"/>
          </a:schemeClr>
        </a:solidFill>
      </c:spPr>
    </c:plotArea>
    <c:legend>
      <c:legendPos val="r"/>
      <c:layout>
        <c:manualLayout>
          <c:xMode val="edge"/>
          <c:yMode val="edge"/>
          <c:x val="2.8494933055819155E-2"/>
          <c:y val="0.86673455829626023"/>
          <c:w val="0.95984162377251825"/>
          <c:h val="0.10845919775728116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65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'ΤΑΜΕΙΑΚΕΣ ΡΟΕΣ - ΔΕΙΚΤΕΣ'!$B$30</c:f>
              <c:strCache>
                <c:ptCount val="1"/>
                <c:pt idx="0">
                  <c:v>Συσσωρευμένες Ταμειακές Ροές</c:v>
                </c:pt>
              </c:strCache>
            </c:strRef>
          </c:tx>
          <c:marker>
            <c:symbol val="none"/>
          </c:marker>
          <c:cat>
            <c:numRef>
              <c:f>'ΤΑΜΕΙΑΚΕΣ ΡΟΕΣ - ΔΕΙΚΤΕΣ'!$D$23:$O$23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'ΤΑΜΕΙΑΚΕΣ ΡΟΕΣ - ΔΕΙΚΤΕΣ'!$D$30:$O$30</c:f>
              <c:numCache>
                <c:formatCode>#,##0_ ;[Red]\-#,##0\ </c:formatCode>
                <c:ptCount val="12"/>
                <c:pt idx="0">
                  <c:v>1437.7103886554396</c:v>
                </c:pt>
                <c:pt idx="1">
                  <c:v>4716.5498083633429</c:v>
                </c:pt>
                <c:pt idx="2">
                  <c:v>9848.5048619342706</c:v>
                </c:pt>
                <c:pt idx="3">
                  <c:v>16845.58564789439</c:v>
                </c:pt>
                <c:pt idx="4">
                  <c:v>25719.824549887897</c:v>
                </c:pt>
                <c:pt idx="5">
                  <c:v>36483.274992290186</c:v>
                </c:pt>
                <c:pt idx="6">
                  <c:v>49148.0101613687</c:v>
                </c:pt>
                <c:pt idx="7">
                  <c:v>63726.121691316512</c:v>
                </c:pt>
                <c:pt idx="8">
                  <c:v>80229.718314472513</c:v>
                </c:pt>
                <c:pt idx="9">
                  <c:v>98670.924475029955</c:v>
                </c:pt>
                <c:pt idx="10">
                  <c:v>119061.87890552286</c:v>
                </c:pt>
                <c:pt idx="11">
                  <c:v>141414.73316536803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B-470B-8DC7-9CA4D8535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478080"/>
        <c:axId val="176479616"/>
      </c:lineChart>
      <c:dateAx>
        <c:axId val="176478080"/>
        <c:scaling>
          <c:orientation val="minMax"/>
        </c:scaling>
        <c:delete val="0"/>
        <c:axPos val="b"/>
        <c:numFmt formatCode="#,##0_ ;[Red]\-#,##0\ " sourceLinked="1"/>
        <c:majorTickMark val="none"/>
        <c:minorTickMark val="none"/>
        <c:tickLblPos val="nextTo"/>
        <c:crossAx val="176479616"/>
        <c:crosses val="autoZero"/>
        <c:auto val="0"/>
        <c:lblOffset val="100"/>
        <c:baseTimeUnit val="days"/>
      </c:dateAx>
      <c:valAx>
        <c:axId val="176479616"/>
        <c:scaling>
          <c:orientation val="minMax"/>
        </c:scaling>
        <c:delete val="0"/>
        <c:axPos val="l"/>
        <c:majorGridlines/>
        <c:numFmt formatCode="#,##0_ ;[Red]\-#,##0\ " sourceLinked="1"/>
        <c:majorTickMark val="none"/>
        <c:minorTickMark val="none"/>
        <c:tickLblPos val="nextTo"/>
        <c:crossAx val="176478080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'ΧΡΗΜ. ΑΝΑΛΥΣΗ'!$C$5</c:f>
              <c:strCache>
                <c:ptCount val="1"/>
                <c:pt idx="0">
                  <c:v>Κόστος Κατανάλωσης Ενέργειας  (OLD)</c:v>
                </c:pt>
              </c:strCache>
            </c:strRef>
          </c:tx>
          <c:marker>
            <c:symbol val="none"/>
          </c:marker>
          <c:cat>
            <c:numRef>
              <c:f>'ΧΡΗΜ. ΑΝΑΛΥΣΗ'!$F$2:$Q$2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'ΧΡΗΜ. ΑΝΑΛΥΣΗ'!$F$5:$Q$5</c:f>
              <c:numCache>
                <c:formatCode>#,##0.00</c:formatCode>
                <c:ptCount val="12"/>
                <c:pt idx="0">
                  <c:v>500262.39532500011</c:v>
                </c:pt>
                <c:pt idx="1">
                  <c:v>505265.01927825011</c:v>
                </c:pt>
                <c:pt idx="2">
                  <c:v>510317.66947103257</c:v>
                </c:pt>
                <c:pt idx="3">
                  <c:v>515420.84616574296</c:v>
                </c:pt>
                <c:pt idx="4">
                  <c:v>520575.05462740036</c:v>
                </c:pt>
                <c:pt idx="5">
                  <c:v>525780.80517367437</c:v>
                </c:pt>
                <c:pt idx="6">
                  <c:v>531038.61322541104</c:v>
                </c:pt>
                <c:pt idx="7">
                  <c:v>536348.99935766519</c:v>
                </c:pt>
                <c:pt idx="8">
                  <c:v>541712.48935124185</c:v>
                </c:pt>
                <c:pt idx="9">
                  <c:v>547129.61424475431</c:v>
                </c:pt>
                <c:pt idx="10">
                  <c:v>552600.91038720182</c:v>
                </c:pt>
                <c:pt idx="11">
                  <c:v>558126.91949107382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2-49AB-A5B9-4D1A633FAFA4}"/>
            </c:ext>
          </c:extLst>
        </c:ser>
        <c:ser>
          <c:idx val="1"/>
          <c:order val="1"/>
          <c:tx>
            <c:strRef>
              <c:f>'ΧΡΗΜ. ΑΝΑΛΥΣΗ'!$C$9</c:f>
              <c:strCache>
                <c:ptCount val="1"/>
                <c:pt idx="0">
                  <c:v>Κόστος Κατανάλωσης Ενέργειας  (NEW)</c:v>
                </c:pt>
              </c:strCache>
            </c:strRef>
          </c:tx>
          <c:marker>
            <c:symbol val="none"/>
          </c:marker>
          <c:cat>
            <c:numRef>
              <c:f>'ΧΡΗΜ. ΑΝΑΛΥΣΗ'!$F$2:$Q$2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'ΧΡΗΜ. ΑΝΑΛΥΣΗ'!$F$9:$Q$9</c:f>
              <c:numCache>
                <c:formatCode>#,##0.00</c:formatCode>
                <c:ptCount val="12"/>
                <c:pt idx="0">
                  <c:v>187655.74221975004</c:v>
                </c:pt>
                <c:pt idx="1">
                  <c:v>189532.29964194755</c:v>
                </c:pt>
                <c:pt idx="2">
                  <c:v>191427.622638367</c:v>
                </c:pt>
                <c:pt idx="3">
                  <c:v>193341.89886475069</c:v>
                </c:pt>
                <c:pt idx="4">
                  <c:v>195275.31785339818</c:v>
                </c:pt>
                <c:pt idx="5">
                  <c:v>197228.07103193217</c:v>
                </c:pt>
                <c:pt idx="6">
                  <c:v>199200.35174225146</c:v>
                </c:pt>
                <c:pt idx="7">
                  <c:v>201192.35525967399</c:v>
                </c:pt>
                <c:pt idx="8">
                  <c:v>203204.27881227073</c:v>
                </c:pt>
                <c:pt idx="9">
                  <c:v>205236.32160039345</c:v>
                </c:pt>
                <c:pt idx="10">
                  <c:v>207288.68481639738</c:v>
                </c:pt>
                <c:pt idx="11">
                  <c:v>209361.57166456134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2-49AB-A5B9-4D1A633FA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74080"/>
        <c:axId val="172975616"/>
      </c:lineChart>
      <c:catAx>
        <c:axId val="1729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975616"/>
        <c:crosses val="autoZero"/>
        <c:auto val="1"/>
        <c:lblAlgn val="ctr"/>
        <c:lblOffset val="100"/>
        <c:noMultiLvlLbl val="0"/>
      </c:catAx>
      <c:valAx>
        <c:axId val="17297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297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'ΤΑΜΕΙΑΚΕΣ ΡΟΕΣ - ΔΕΙΚΤΕΣ'!$B$17</c:f>
              <c:strCache>
                <c:ptCount val="1"/>
                <c:pt idx="0">
                  <c:v>Αποπληρωμή Δανείου ΕΤΕπ (Τόκοι+Κεφάλαιο) (12)</c:v>
                </c:pt>
              </c:strCache>
            </c:strRef>
          </c:tx>
          <c:invertIfNegative val="0"/>
          <c:val>
            <c:numRef>
              <c:f>'ΤΑΜΕΙΑΚΕΣ ΡΟΕΣ - ΔΕΙΚΤΕΣ'!$D$17:$O$17</c:f>
              <c:numCache>
                <c:formatCode>#,##0_ ;[Red]\-#,##0\ </c:formatCode>
                <c:ptCount val="12"/>
                <c:pt idx="0">
                  <c:v>-110473.44304046543</c:v>
                </c:pt>
                <c:pt idx="1">
                  <c:v>-110473.44304046543</c:v>
                </c:pt>
                <c:pt idx="2">
                  <c:v>-110473.44304046543</c:v>
                </c:pt>
                <c:pt idx="3">
                  <c:v>-110473.44304046543</c:v>
                </c:pt>
                <c:pt idx="4">
                  <c:v>-110473.44304046543</c:v>
                </c:pt>
                <c:pt idx="5">
                  <c:v>-110473.44304046543</c:v>
                </c:pt>
                <c:pt idx="6">
                  <c:v>-110473.44304046544</c:v>
                </c:pt>
                <c:pt idx="7">
                  <c:v>-110473.44304046541</c:v>
                </c:pt>
                <c:pt idx="8">
                  <c:v>-110473.44304046543</c:v>
                </c:pt>
                <c:pt idx="9">
                  <c:v>-110473.44304046543</c:v>
                </c:pt>
                <c:pt idx="10">
                  <c:v>-110473.44304046543</c:v>
                </c:pt>
                <c:pt idx="11">
                  <c:v>-110473.44304046543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6-40B7-A339-EBBE00129F3C}"/>
            </c:ext>
          </c:extLst>
        </c:ser>
        <c:ser>
          <c:idx val="1"/>
          <c:order val="1"/>
          <c:tx>
            <c:strRef>
              <c:f>'ΤΑΜΕΙΑΚΕΣ ΡΟΕΣ - ΔΕΙΚΤΕΣ'!$B$18</c:f>
              <c:strCache>
                <c:ptCount val="1"/>
                <c:pt idx="0">
                  <c:v>Αποπληρωμή Δανείου ΤΠΔ (Τόκοι+Κεφάλαιο) (13)</c:v>
                </c:pt>
              </c:strCache>
            </c:strRef>
          </c:tx>
          <c:invertIfNegative val="0"/>
          <c:val>
            <c:numRef>
              <c:f>'ΤΑΜΕΙΑΚΕΣ ΡΟΕΣ - ΔΕΙΚΤΕΣ'!$D$18:$O$18</c:f>
              <c:numCache>
                <c:formatCode>#,##0_ ;[Red]\-#,##0\ </c:formatCode>
                <c:ptCount val="12"/>
                <c:pt idx="0">
                  <c:v>-115032.99967612923</c:v>
                </c:pt>
                <c:pt idx="1">
                  <c:v>-115032.99967612923</c:v>
                </c:pt>
                <c:pt idx="2">
                  <c:v>-115032.99967612923</c:v>
                </c:pt>
                <c:pt idx="3">
                  <c:v>-115032.99967612923</c:v>
                </c:pt>
                <c:pt idx="4">
                  <c:v>-115032.99967612923</c:v>
                </c:pt>
                <c:pt idx="5">
                  <c:v>-115032.99967612923</c:v>
                </c:pt>
                <c:pt idx="6">
                  <c:v>-115032.99967612923</c:v>
                </c:pt>
                <c:pt idx="7">
                  <c:v>-115032.99967612923</c:v>
                </c:pt>
                <c:pt idx="8">
                  <c:v>-115032.99967612923</c:v>
                </c:pt>
                <c:pt idx="9">
                  <c:v>-115032.99967612923</c:v>
                </c:pt>
                <c:pt idx="10">
                  <c:v>-115032.99967612923</c:v>
                </c:pt>
                <c:pt idx="11">
                  <c:v>-115032.99967612923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6-40B7-A339-EBBE00129F3C}"/>
            </c:ext>
          </c:extLst>
        </c:ser>
        <c:ser>
          <c:idx val="2"/>
          <c:order val="2"/>
          <c:tx>
            <c:strRef>
              <c:f>'ΤΑΜΕΙΑΚΕΣ ΡΟΕΣ - ΔΕΙΚΤΕΣ'!$B$30</c:f>
              <c:strCache>
                <c:ptCount val="1"/>
                <c:pt idx="0">
                  <c:v>Συσσωρευμένες Ταμειακές Ροές</c:v>
                </c:pt>
              </c:strCache>
            </c:strRef>
          </c:tx>
          <c:invertIfNegative val="0"/>
          <c:val>
            <c:numRef>
              <c:f>'ΤΑΜΕΙΑΚΕΣ ΡΟΕΣ - ΔΕΙΚΤΕΣ'!$D$30:$O$30</c:f>
              <c:numCache>
                <c:formatCode>#,##0_ ;[Red]\-#,##0\ </c:formatCode>
                <c:ptCount val="12"/>
                <c:pt idx="0">
                  <c:v>1437.7103886554396</c:v>
                </c:pt>
                <c:pt idx="1">
                  <c:v>4716.5498083633429</c:v>
                </c:pt>
                <c:pt idx="2">
                  <c:v>9848.5048619342706</c:v>
                </c:pt>
                <c:pt idx="3">
                  <c:v>16845.58564789439</c:v>
                </c:pt>
                <c:pt idx="4">
                  <c:v>25719.824549887897</c:v>
                </c:pt>
                <c:pt idx="5">
                  <c:v>36483.274992290186</c:v>
                </c:pt>
                <c:pt idx="6">
                  <c:v>49148.0101613687</c:v>
                </c:pt>
                <c:pt idx="7">
                  <c:v>63726.121691316512</c:v>
                </c:pt>
                <c:pt idx="8">
                  <c:v>80229.718314472513</c:v>
                </c:pt>
                <c:pt idx="9">
                  <c:v>98670.924475029955</c:v>
                </c:pt>
                <c:pt idx="10">
                  <c:v>119061.87890552286</c:v>
                </c:pt>
                <c:pt idx="11">
                  <c:v>141414.73316536803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6-40B7-A339-EBBE00129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73009920"/>
        <c:axId val="173048576"/>
        <c:axId val="0"/>
      </c:bar3DChart>
      <c:catAx>
        <c:axId val="173009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3048576"/>
        <c:crosses val="autoZero"/>
        <c:auto val="1"/>
        <c:lblAlgn val="ctr"/>
        <c:lblOffset val="100"/>
        <c:noMultiLvlLbl val="0"/>
      </c:catAx>
      <c:valAx>
        <c:axId val="173048576"/>
        <c:scaling>
          <c:orientation val="minMax"/>
        </c:scaling>
        <c:delete val="0"/>
        <c:axPos val="l"/>
        <c:majorGridlines/>
        <c:numFmt formatCode="#,##0_ ;[Red]\-#,##0\ " sourceLinked="1"/>
        <c:majorTickMark val="none"/>
        <c:minorTickMark val="none"/>
        <c:tickLblPos val="nextTo"/>
        <c:crossAx val="17300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'ΧΡΗΜ. ΑΝΑΛΥΣΗ'!$C$12:$D$12</c:f>
              <c:strCache>
                <c:ptCount val="2"/>
                <c:pt idx="0">
                  <c:v>Εξοικονόμηση Ενέργειας σε</c:v>
                </c:pt>
                <c:pt idx="1">
                  <c:v>€</c:v>
                </c:pt>
              </c:strCache>
            </c:strRef>
          </c:tx>
          <c:marker>
            <c:symbol val="none"/>
          </c:marker>
          <c:val>
            <c:numRef>
              <c:f>'ΧΡΗΜ. ΑΝΑΛΥΣΗ'!$F$12:$Q$12</c:f>
              <c:numCache>
                <c:formatCode>#,##0.00</c:formatCode>
                <c:ptCount val="12"/>
                <c:pt idx="0">
                  <c:v>312606.65310525009</c:v>
                </c:pt>
                <c:pt idx="1">
                  <c:v>315732.71963630256</c:v>
                </c:pt>
                <c:pt idx="2">
                  <c:v>318890.04683266557</c:v>
                </c:pt>
                <c:pt idx="3">
                  <c:v>322078.94730099227</c:v>
                </c:pt>
                <c:pt idx="4">
                  <c:v>325299.7367740022</c:v>
                </c:pt>
                <c:pt idx="5">
                  <c:v>328552.73414174223</c:v>
                </c:pt>
                <c:pt idx="6">
                  <c:v>331838.26148315961</c:v>
                </c:pt>
                <c:pt idx="7">
                  <c:v>335156.64409799117</c:v>
                </c:pt>
                <c:pt idx="8">
                  <c:v>338508.21053897112</c:v>
                </c:pt>
                <c:pt idx="9">
                  <c:v>341893.29264436086</c:v>
                </c:pt>
                <c:pt idx="10">
                  <c:v>345312.22557080444</c:v>
                </c:pt>
                <c:pt idx="11">
                  <c:v>348765.34782651247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4E-45A2-AFCC-6F0B443CA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062784"/>
        <c:axId val="176435584"/>
      </c:lineChart>
      <c:catAx>
        <c:axId val="17306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76435584"/>
        <c:crosses val="autoZero"/>
        <c:auto val="1"/>
        <c:lblAlgn val="ctr"/>
        <c:lblOffset val="100"/>
        <c:noMultiLvlLbl val="0"/>
      </c:catAx>
      <c:valAx>
        <c:axId val="1764355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73062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Relationship Id="rId1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BaseCase!A1"/><Relationship Id="rId13" Type="http://schemas.openxmlformats.org/officeDocument/2006/relationships/hyperlink" Target="#'Loan$'!A1"/><Relationship Id="rId3" Type="http://schemas.openxmlformats.org/officeDocument/2006/relationships/chart" Target="../charts/chart4.xml"/><Relationship Id="rId7" Type="http://schemas.openxmlformats.org/officeDocument/2006/relationships/hyperlink" Target="#CaPex!A1"/><Relationship Id="rId12" Type="http://schemas.openxmlformats.org/officeDocument/2006/relationships/hyperlink" Target="#Budget!A1"/><Relationship Id="rId17" Type="http://schemas.openxmlformats.org/officeDocument/2006/relationships/hyperlink" Target="#'GANTT Chart'!A1"/><Relationship Id="rId2" Type="http://schemas.openxmlformats.org/officeDocument/2006/relationships/chart" Target="../charts/chart3.xml"/><Relationship Id="rId16" Type="http://schemas.openxmlformats.org/officeDocument/2006/relationships/hyperlink" Target="#RESULTS!A1"/><Relationship Id="rId1" Type="http://schemas.openxmlformats.org/officeDocument/2006/relationships/chart" Target="../charts/chart2.xml"/><Relationship Id="rId6" Type="http://schemas.openxmlformats.org/officeDocument/2006/relationships/hyperlink" Target="#'&#928;&#913;&#929;&#913;&#916;&#927;&#935;&#917;&#931; '!A1"/><Relationship Id="rId11" Type="http://schemas.openxmlformats.org/officeDocument/2006/relationships/hyperlink" Target="#&#917;&#926;&#927;&#916;&#913;!A1"/><Relationship Id="rId5" Type="http://schemas.openxmlformats.org/officeDocument/2006/relationships/hyperlink" Target="#'Data Input'!A1"/><Relationship Id="rId15" Type="http://schemas.openxmlformats.org/officeDocument/2006/relationships/hyperlink" Target="#FCF!A1"/><Relationship Id="rId10" Type="http://schemas.openxmlformats.org/officeDocument/2006/relationships/hyperlink" Target="#FINANCIAL!A1"/><Relationship Id="rId4" Type="http://schemas.openxmlformats.org/officeDocument/2006/relationships/chart" Target="../charts/chart5.xml"/><Relationship Id="rId9" Type="http://schemas.openxmlformats.org/officeDocument/2006/relationships/hyperlink" Target="#Home!A1"/><Relationship Id="rId14" Type="http://schemas.openxmlformats.org/officeDocument/2006/relationships/hyperlink" Target="#IncomeSt.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&#917;&#926;&#927;&#916;&#913;!A1"/><Relationship Id="rId13" Type="http://schemas.openxmlformats.org/officeDocument/2006/relationships/hyperlink" Target="#RESULTS!A1"/><Relationship Id="rId3" Type="http://schemas.openxmlformats.org/officeDocument/2006/relationships/hyperlink" Target="#'&#928;&#913;&#929;&#913;&#916;&#927;&#935;&#917;&#931; '!A1"/><Relationship Id="rId7" Type="http://schemas.openxmlformats.org/officeDocument/2006/relationships/hyperlink" Target="#FINANCIAL!A1"/><Relationship Id="rId12" Type="http://schemas.openxmlformats.org/officeDocument/2006/relationships/hyperlink" Target="#FCF!A1"/><Relationship Id="rId2" Type="http://schemas.openxmlformats.org/officeDocument/2006/relationships/hyperlink" Target="#'Data Input'!A1"/><Relationship Id="rId1" Type="http://schemas.openxmlformats.org/officeDocument/2006/relationships/chart" Target="../charts/chart1.xml"/><Relationship Id="rId6" Type="http://schemas.openxmlformats.org/officeDocument/2006/relationships/hyperlink" Target="#Home!A1"/><Relationship Id="rId11" Type="http://schemas.openxmlformats.org/officeDocument/2006/relationships/hyperlink" Target="#IncomeSt.!A1"/><Relationship Id="rId5" Type="http://schemas.openxmlformats.org/officeDocument/2006/relationships/hyperlink" Target="#BaseCase!A1"/><Relationship Id="rId10" Type="http://schemas.openxmlformats.org/officeDocument/2006/relationships/hyperlink" Target="#'Loan$'!A1"/><Relationship Id="rId4" Type="http://schemas.openxmlformats.org/officeDocument/2006/relationships/hyperlink" Target="#CaPex!A1"/><Relationship Id="rId9" Type="http://schemas.openxmlformats.org/officeDocument/2006/relationships/hyperlink" Target="#Budget!A1"/><Relationship Id="rId14" Type="http://schemas.openxmlformats.org/officeDocument/2006/relationships/hyperlink" Target="#'GANTT Chart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190499</xdr:rowOff>
    </xdr:from>
    <xdr:to>
      <xdr:col>0</xdr:col>
      <xdr:colOff>1934632</xdr:colOff>
      <xdr:row>27</xdr:row>
      <xdr:rowOff>10582</xdr:rowOff>
    </xdr:to>
    <xdr:grpSp>
      <xdr:nvGrpSpPr>
        <xdr:cNvPr id="3" name="Ομάδα 2"/>
        <xdr:cNvGrpSpPr/>
      </xdr:nvGrpSpPr>
      <xdr:grpSpPr>
        <a:xfrm>
          <a:off x="50799" y="190499"/>
          <a:ext cx="1883833" cy="5143500"/>
          <a:chOff x="19050" y="76200"/>
          <a:chExt cx="1904999" cy="4799542"/>
        </a:xfrm>
      </xdr:grpSpPr>
      <xdr:sp macro="" textlink="">
        <xdr:nvSpPr>
          <xdr:cNvPr id="19" name="Στρογγυλεμένο ορθογώνιο 18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ΕΙΣΑΓΩΓΗ</a:t>
            </a:r>
            <a:r>
              <a:rPr lang="el-GR" sz="1100" b="1" baseline="0"/>
              <a:t> ΔΕΔΟΜΕΝΩΝ</a:t>
            </a:r>
            <a:endParaRPr lang="el-GR" sz="1100" b="1"/>
          </a:p>
        </xdr:txBody>
      </xdr:sp>
      <xdr:sp macro="" textlink="">
        <xdr:nvSpPr>
          <xdr:cNvPr id="42" name="Στρογγυλεμένο ορθογώνιο 41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ΠΑΡΑΔΟΧΕΣ</a:t>
            </a:r>
          </a:p>
        </xdr:txBody>
      </xdr:sp>
      <xdr:sp macro="" textlink="">
        <xdr:nvSpPr>
          <xdr:cNvPr id="43" name="Στρογγυλεμένο ορθογώνιο 42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ΚΟΣΤΟΣ ΕΠΕΝΔΥΣΗΣ</a:t>
            </a:r>
          </a:p>
        </xdr:txBody>
      </xdr:sp>
      <xdr:sp macro="" textlink="">
        <xdr:nvSpPr>
          <xdr:cNvPr id="44" name="Στρογγυλεμένο ορθογώνιο 43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ΒΑΣΙΚΟ ΣΕΝΑΡΙΟ</a:t>
            </a:r>
          </a:p>
        </xdr:txBody>
      </xdr:sp>
      <xdr:sp macro="" textlink="">
        <xdr:nvSpPr>
          <xdr:cNvPr id="45" name="Στρογγυλεμένο ορθογώνιο 44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rgbClr val="C00000"/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ΑΡΧΙΚΗ ΣΕΛΙΔΑ</a:t>
            </a:r>
          </a:p>
        </xdr:txBody>
      </xdr:sp>
      <xdr:sp macro="" textlink="">
        <xdr:nvSpPr>
          <xdr:cNvPr id="53" name="Στρογγυλεμένο ορθογώνιο 5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ΧΡΗΜ/ΜΙΚΗ</a:t>
            </a:r>
            <a:r>
              <a:rPr lang="el-GR" sz="800" b="1" baseline="0"/>
              <a:t> </a:t>
            </a:r>
            <a:r>
              <a:rPr lang="el-GR" sz="1050" b="1" baseline="0"/>
              <a:t>ΑΝΑΛΥΣΗ</a:t>
            </a:r>
            <a:endParaRPr lang="el-GR" sz="1050" b="1"/>
          </a:p>
        </xdr:txBody>
      </xdr:sp>
      <xdr:sp macro="" textlink="">
        <xdr:nvSpPr>
          <xdr:cNvPr id="55" name="Στρογγυλεμένο ορθογώνιο 54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ΕΞΟΔΑ</a:t>
            </a:r>
          </a:p>
        </xdr:txBody>
      </xdr:sp>
      <xdr:sp macro="" textlink="">
        <xdr:nvSpPr>
          <xdr:cNvPr id="56" name="Στρογγυλεμένο ορθογώνιο 55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ΠΡΟΥΠΟΛΟΓΙΣΜΟΣ</a:t>
            </a:r>
          </a:p>
        </xdr:txBody>
      </xdr:sp>
      <xdr:sp macro="" textlink="">
        <xdr:nvSpPr>
          <xdr:cNvPr id="57" name="Στρογγυλεμένο ορθογώνιο 56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ΔΑΝΕΙΑ</a:t>
            </a:r>
          </a:p>
        </xdr:txBody>
      </xdr:sp>
      <xdr:sp macro="" textlink="">
        <xdr:nvSpPr>
          <xdr:cNvPr id="58" name="Στρογγυλεμένο ορθογώνιο 57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000" b="1"/>
              <a:t>ΑΠΟΤΕΛΕΣΜΑΤΑ</a:t>
            </a:r>
          </a:p>
        </xdr:txBody>
      </xdr:sp>
      <xdr:sp macro="" textlink="">
        <xdr:nvSpPr>
          <xdr:cNvPr id="59" name="Στρογγυλεμένο ορθογώνιο 58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ΤΑΜΕΙΑΚΕΣ ΡΟΕΣ - ΔΕΙΚΤΕΣ</a:t>
            </a:r>
          </a:p>
        </xdr:txBody>
      </xdr:sp>
      <xdr:sp macro="" textlink="">
        <xdr:nvSpPr>
          <xdr:cNvPr id="60" name="Στρογγυλεμένο ορθογώνιο 59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900" b="1"/>
              <a:t> </a:t>
            </a:r>
            <a:r>
              <a:rPr lang="el-GR" sz="1100" b="1" baseline="0"/>
              <a:t>ΣΥΓΚΕΝΤΡΩΤΙΚΑ</a:t>
            </a:r>
          </a:p>
        </xdr:txBody>
      </xdr:sp>
      <xdr:sp macro="" textlink="">
        <xdr:nvSpPr>
          <xdr:cNvPr id="61" name="Στρογγυλεμένο ορθογώνιο 60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ΧΡΟΝΟΔΙΑΓΡΑΜΜΑ</a:t>
            </a:r>
          </a:p>
        </xdr:txBody>
      </xdr:sp>
    </xdr:grpSp>
    <xdr:clientData/>
  </xdr:twoCellAnchor>
  <xdr:twoCellAnchor editAs="oneCell">
    <xdr:from>
      <xdr:col>1</xdr:col>
      <xdr:colOff>95281</xdr:colOff>
      <xdr:row>15</xdr:row>
      <xdr:rowOff>148180</xdr:rowOff>
    </xdr:from>
    <xdr:to>
      <xdr:col>5</xdr:col>
      <xdr:colOff>550490</xdr:colOff>
      <xdr:row>24</xdr:row>
      <xdr:rowOff>149227</xdr:rowOff>
    </xdr:to>
    <xdr:pic>
      <xdr:nvPicPr>
        <xdr:cNvPr id="16" name="Εικόνα 1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074364" y="3143263"/>
          <a:ext cx="3407959" cy="1736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38101</xdr:colOff>
      <xdr:row>0</xdr:row>
      <xdr:rowOff>158750</xdr:rowOff>
    </xdr:from>
    <xdr:to>
      <xdr:col>19</xdr:col>
      <xdr:colOff>328083</xdr:colOff>
      <xdr:row>12</xdr:row>
      <xdr:rowOff>158750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83610</xdr:colOff>
      <xdr:row>12</xdr:row>
      <xdr:rowOff>199496</xdr:rowOff>
    </xdr:from>
    <xdr:to>
      <xdr:col>12</xdr:col>
      <xdr:colOff>10583</xdr:colOff>
      <xdr:row>27</xdr:row>
      <xdr:rowOff>74613</xdr:rowOff>
    </xdr:to>
    <xdr:graphicFrame macro="">
      <xdr:nvGraphicFramePr>
        <xdr:cNvPr id="4" name="Γράφημα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43391</xdr:colOff>
      <xdr:row>12</xdr:row>
      <xdr:rowOff>189969</xdr:rowOff>
    </xdr:from>
    <xdr:to>
      <xdr:col>19</xdr:col>
      <xdr:colOff>348191</xdr:colOff>
      <xdr:row>27</xdr:row>
      <xdr:rowOff>65086</xdr:rowOff>
    </xdr:to>
    <xdr:graphicFrame macro="">
      <xdr:nvGraphicFramePr>
        <xdr:cNvPr id="5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89957</xdr:colOff>
      <xdr:row>0</xdr:row>
      <xdr:rowOff>148166</xdr:rowOff>
    </xdr:from>
    <xdr:to>
      <xdr:col>12</xdr:col>
      <xdr:colOff>21166</xdr:colOff>
      <xdr:row>12</xdr:row>
      <xdr:rowOff>158750</xdr:rowOff>
    </xdr:to>
    <xdr:graphicFrame macro="">
      <xdr:nvGraphicFramePr>
        <xdr:cNvPr id="6" name="Γράφημα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52915</xdr:colOff>
      <xdr:row>0</xdr:row>
      <xdr:rowOff>179917</xdr:rowOff>
    </xdr:from>
    <xdr:to>
      <xdr:col>0</xdr:col>
      <xdr:colOff>1936748</xdr:colOff>
      <xdr:row>26</xdr:row>
      <xdr:rowOff>127000</xdr:rowOff>
    </xdr:to>
    <xdr:grpSp>
      <xdr:nvGrpSpPr>
        <xdr:cNvPr id="21" name="Ομάδα 20"/>
        <xdr:cNvGrpSpPr/>
      </xdr:nvGrpSpPr>
      <xdr:grpSpPr>
        <a:xfrm>
          <a:off x="52915" y="179917"/>
          <a:ext cx="1883833" cy="5121157"/>
          <a:chOff x="19050" y="76200"/>
          <a:chExt cx="1904999" cy="4799542"/>
        </a:xfrm>
      </xdr:grpSpPr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31" name="Στρογγυλεμένο ορθογώνιο 30">
            <a:hlinkClick xmlns:r="http://schemas.openxmlformats.org/officeDocument/2006/relationships" r:id="rId14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32" name="Στρογγυλεμένο ορθογώνιο 31">
            <a:hlinkClick xmlns:r="http://schemas.openxmlformats.org/officeDocument/2006/relationships" r:id="rId15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33" name="Στρογγυλεμένο ορθογώνιο 32">
            <a:hlinkClick xmlns:r="http://schemas.openxmlformats.org/officeDocument/2006/relationships" r:id="rId16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4" name="Στρογγυλεμένο ορθογώνιο 33">
            <a:hlinkClick xmlns:r="http://schemas.openxmlformats.org/officeDocument/2006/relationships" r:id="rId17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0</xdr:row>
      <xdr:rowOff>190502</xdr:rowOff>
    </xdr:from>
    <xdr:to>
      <xdr:col>0</xdr:col>
      <xdr:colOff>1936750</xdr:colOff>
      <xdr:row>25</xdr:row>
      <xdr:rowOff>158752</xdr:rowOff>
    </xdr:to>
    <xdr:grpSp>
      <xdr:nvGrpSpPr>
        <xdr:cNvPr id="60" name="Ομάδα 59"/>
        <xdr:cNvGrpSpPr/>
      </xdr:nvGrpSpPr>
      <xdr:grpSpPr>
        <a:xfrm>
          <a:off x="52917" y="190502"/>
          <a:ext cx="1883833" cy="4847167"/>
          <a:chOff x="19050" y="76200"/>
          <a:chExt cx="1904999" cy="4799542"/>
        </a:xfrm>
      </xdr:grpSpPr>
      <xdr:sp macro="" textlink="">
        <xdr:nvSpPr>
          <xdr:cNvPr id="61" name="Στρογγυλεμένο ορθογώνιο 60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rgbClr val="C00000"/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ΕΙΣΑΓΩΓΗ</a:t>
            </a:r>
            <a:r>
              <a:rPr lang="el-GR" sz="1100" b="1" baseline="0"/>
              <a:t> ΔΕΔΟΜΕΝΩΝ</a:t>
            </a:r>
            <a:endParaRPr lang="el-GR" sz="1100" b="1"/>
          </a:p>
        </xdr:txBody>
      </xdr:sp>
      <xdr:sp macro="" textlink="">
        <xdr:nvSpPr>
          <xdr:cNvPr id="62" name="Στρογγυλεμένο ορθογώνιο 61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ΠΑΡΑΔΟΧΕΣ</a:t>
            </a:r>
          </a:p>
        </xdr:txBody>
      </xdr:sp>
      <xdr:sp macro="" textlink="">
        <xdr:nvSpPr>
          <xdr:cNvPr id="63" name="Στρογγυλεμένο ορθογώνιο 62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ΚΟΣΤΟΣ ΕΠΕΝΔΥΣΗΣ</a:t>
            </a:r>
          </a:p>
        </xdr:txBody>
      </xdr:sp>
      <xdr:sp macro="" textlink="">
        <xdr:nvSpPr>
          <xdr:cNvPr id="64" name="Στρογγυλεμένο ορθογώνιο 63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ΒΑΣΙΚΟ ΣΕΝΑΡΙΟ</a:t>
            </a:r>
          </a:p>
        </xdr:txBody>
      </xdr:sp>
      <xdr:sp macro="" textlink="">
        <xdr:nvSpPr>
          <xdr:cNvPr id="65" name="Στρογγυλεμένο ορθογώνιο 64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ΑΡΧΙΚΗ</a:t>
            </a:r>
            <a:r>
              <a:rPr lang="el-GR" sz="1100" b="1" baseline="0"/>
              <a:t> ΣΕΛΙΔΑ</a:t>
            </a:r>
            <a:endParaRPr lang="el-GR" sz="1100" b="1"/>
          </a:p>
        </xdr:txBody>
      </xdr:sp>
      <xdr:sp macro="" textlink="">
        <xdr:nvSpPr>
          <xdr:cNvPr id="66" name="Στρογγυλεμένο ορθογώνιο 65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ΧΡΗΜ/ΜΙΚΗ ΑΝΑΛΥΣΗ</a:t>
            </a:r>
            <a:endParaRPr lang="el-GR" sz="800">
              <a:effectLst/>
            </a:endParaRPr>
          </a:p>
        </xdr:txBody>
      </xdr:sp>
      <xdr:sp macro="" textlink="">
        <xdr:nvSpPr>
          <xdr:cNvPr id="67" name="Στρογγυλεμένο ορθογώνιο 66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ΕΞΟΔΑ</a:t>
            </a:r>
          </a:p>
        </xdr:txBody>
      </xdr:sp>
      <xdr:sp macro="" textlink="">
        <xdr:nvSpPr>
          <xdr:cNvPr id="68" name="Στρογγυλεμένο ορθογώνιο 67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ΠΡΟΥΠΟΛΟΓΙΣΜΟΣ</a:t>
            </a:r>
          </a:p>
        </xdr:txBody>
      </xdr:sp>
      <xdr:sp macro="" textlink="">
        <xdr:nvSpPr>
          <xdr:cNvPr id="69" name="Στρογγυλεμένο ορθογώνιο 68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ΔΑΝΕΙΑ</a:t>
            </a:r>
          </a:p>
        </xdr:txBody>
      </xdr:sp>
      <xdr:sp macro="" textlink="">
        <xdr:nvSpPr>
          <xdr:cNvPr id="70" name="Στρογγυλεμένο ορθογώνιο 69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000" b="1"/>
              <a:t>ΑΠΟΤΕΛΕΣΜΑΤΑ</a:t>
            </a:r>
          </a:p>
        </xdr:txBody>
      </xdr:sp>
      <xdr:sp macro="" textlink="">
        <xdr:nvSpPr>
          <xdr:cNvPr id="71" name="Στρογγυλεμένο ορθογώνιο 70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ΤΑΜΕΙΑΚΕΣ ΡΟΕΣ - ΔΕΙΚΤΕΣ</a:t>
            </a:r>
          </a:p>
        </xdr:txBody>
      </xdr:sp>
      <xdr:sp macro="" textlink="">
        <xdr:nvSpPr>
          <xdr:cNvPr id="72" name="Στρογγυλεμένο ορθογώνιο 71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900" b="1"/>
              <a:t>  </a:t>
            </a:r>
            <a:r>
              <a:rPr lang="el-GR" sz="1100" b="1" baseline="0"/>
              <a:t>ΣΥΓΚΕΝΤΡΩΤΙΚΑ</a:t>
            </a:r>
          </a:p>
        </xdr:txBody>
      </xdr:sp>
      <xdr:sp macro="" textlink="">
        <xdr:nvSpPr>
          <xdr:cNvPr id="73" name="Στρογγυλεμένο ορθογώνιο 72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ΧΡΟΝΟΔΙΑΓΡΑΜΜΑ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190500</xdr:rowOff>
    </xdr:from>
    <xdr:to>
      <xdr:col>0</xdr:col>
      <xdr:colOff>1936748</xdr:colOff>
      <xdr:row>26</xdr:row>
      <xdr:rowOff>10583</xdr:rowOff>
    </xdr:to>
    <xdr:grpSp>
      <xdr:nvGrpSpPr>
        <xdr:cNvPr id="17" name="Ομάδα 16"/>
        <xdr:cNvGrpSpPr/>
      </xdr:nvGrpSpPr>
      <xdr:grpSpPr>
        <a:xfrm>
          <a:off x="52915" y="190500"/>
          <a:ext cx="1883833" cy="5261493"/>
          <a:chOff x="19050" y="76200"/>
          <a:chExt cx="1904999" cy="4799542"/>
        </a:xfrm>
        <a:solidFill>
          <a:schemeClr val="bg1">
            <a:lumMod val="50000"/>
          </a:schemeClr>
        </a:solidFill>
      </xdr:grpSpPr>
      <xdr:sp macro="" textlink="">
        <xdr:nvSpPr>
          <xdr:cNvPr id="18" name="Στρογγυλεμένο ορθογώνιο 17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ΑΠΟΤΕΛΕΣΜΑΤΑ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</xdr:row>
      <xdr:rowOff>38107</xdr:rowOff>
    </xdr:from>
    <xdr:to>
      <xdr:col>12</xdr:col>
      <xdr:colOff>819149</xdr:colOff>
      <xdr:row>23</xdr:row>
      <xdr:rowOff>133350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190500</xdr:rowOff>
    </xdr:from>
    <xdr:to>
      <xdr:col>0</xdr:col>
      <xdr:colOff>1936748</xdr:colOff>
      <xdr:row>28</xdr:row>
      <xdr:rowOff>179917</xdr:rowOff>
    </xdr:to>
    <xdr:grpSp>
      <xdr:nvGrpSpPr>
        <xdr:cNvPr id="18" name="Ομάδα 17"/>
        <xdr:cNvGrpSpPr/>
      </xdr:nvGrpSpPr>
      <xdr:grpSpPr>
        <a:xfrm>
          <a:off x="52915" y="190500"/>
          <a:ext cx="1883833" cy="5573448"/>
          <a:chOff x="19050" y="76200"/>
          <a:chExt cx="1904999" cy="4799542"/>
        </a:xfrm>
      </xdr:grpSpPr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ΣΥΓΚΕΝΤΡΩΤΙΚΑ</a:t>
            </a:r>
          </a:p>
        </xdr:txBody>
      </xdr:sp>
      <xdr:sp macro="" textlink="">
        <xdr:nvSpPr>
          <xdr:cNvPr id="31" name="Στρογγυλεμένο ορθογώνιο 30">
            <a:hlinkClick xmlns:r="http://schemas.openxmlformats.org/officeDocument/2006/relationships" r:id="rId14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190500</xdr:rowOff>
    </xdr:from>
    <xdr:to>
      <xdr:col>0</xdr:col>
      <xdr:colOff>1936748</xdr:colOff>
      <xdr:row>27</xdr:row>
      <xdr:rowOff>137583</xdr:rowOff>
    </xdr:to>
    <xdr:grpSp>
      <xdr:nvGrpSpPr>
        <xdr:cNvPr id="17" name="Ομάδα 16"/>
        <xdr:cNvGrpSpPr/>
      </xdr:nvGrpSpPr>
      <xdr:grpSpPr>
        <a:xfrm>
          <a:off x="52915" y="190500"/>
          <a:ext cx="1883833" cy="5287163"/>
          <a:chOff x="19050" y="76200"/>
          <a:chExt cx="1904999" cy="4799542"/>
        </a:xfrm>
      </xdr:grpSpPr>
      <xdr:sp macro="" textlink="">
        <xdr:nvSpPr>
          <xdr:cNvPr id="18" name="Στρογγυλεμένο ορθογώνιο 17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</a:t>
            </a: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ΣΕΝΑΡΙΟ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73846</xdr:colOff>
      <xdr:row>0</xdr:row>
      <xdr:rowOff>190500</xdr:rowOff>
    </xdr:from>
    <xdr:to>
      <xdr:col>0</xdr:col>
      <xdr:colOff>1936748</xdr:colOff>
      <xdr:row>21</xdr:row>
      <xdr:rowOff>49740</xdr:rowOff>
    </xdr:to>
    <xdr:grpSp>
      <xdr:nvGrpSpPr>
        <xdr:cNvPr id="17" name="Ομάδα 16"/>
        <xdr:cNvGrpSpPr/>
      </xdr:nvGrpSpPr>
      <xdr:grpSpPr>
        <a:xfrm>
          <a:off x="73846" y="190500"/>
          <a:ext cx="1862902" cy="4328663"/>
          <a:chOff x="40216" y="76200"/>
          <a:chExt cx="1883833" cy="4450292"/>
        </a:xfrm>
      </xdr:grpSpPr>
      <xdr:sp macro="" textlink="">
        <xdr:nvSpPr>
          <xdr:cNvPr id="18" name="Στρογγυλεμένο ορθογώνιο 17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algn="ctr"/>
            <a:r>
              <a:rPr lang="el-GR" sz="1100" b="1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ΧΡΗΜ/ΜΙΚΗ ΑΝΑΛΥΣΗ</a:t>
            </a:r>
            <a:endParaRPr lang="el-GR" sz="800">
              <a:solidFill>
                <a:schemeClr val="bg1"/>
              </a:solidFill>
              <a:effectLst/>
            </a:endParaRP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179917</xdr:rowOff>
    </xdr:from>
    <xdr:to>
      <xdr:col>0</xdr:col>
      <xdr:colOff>1936748</xdr:colOff>
      <xdr:row>27</xdr:row>
      <xdr:rowOff>105834</xdr:rowOff>
    </xdr:to>
    <xdr:grpSp>
      <xdr:nvGrpSpPr>
        <xdr:cNvPr id="2" name="Ομάδα 1"/>
        <xdr:cNvGrpSpPr/>
      </xdr:nvGrpSpPr>
      <xdr:grpSpPr>
        <a:xfrm>
          <a:off x="52915" y="179917"/>
          <a:ext cx="1883833" cy="5174800"/>
          <a:chOff x="19050" y="76200"/>
          <a:chExt cx="1904999" cy="479954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73846</xdr:colOff>
      <xdr:row>0</xdr:row>
      <xdr:rowOff>179917</xdr:rowOff>
    </xdr:from>
    <xdr:to>
      <xdr:col>0</xdr:col>
      <xdr:colOff>1936748</xdr:colOff>
      <xdr:row>25</xdr:row>
      <xdr:rowOff>144305</xdr:rowOff>
    </xdr:to>
    <xdr:grpSp>
      <xdr:nvGrpSpPr>
        <xdr:cNvPr id="2" name="Ομάδα 1"/>
        <xdr:cNvGrpSpPr/>
      </xdr:nvGrpSpPr>
      <xdr:grpSpPr>
        <a:xfrm>
          <a:off x="73846" y="179917"/>
          <a:ext cx="1862902" cy="4746941"/>
          <a:chOff x="40216" y="76200"/>
          <a:chExt cx="1883833" cy="445029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179917</xdr:rowOff>
    </xdr:from>
    <xdr:to>
      <xdr:col>0</xdr:col>
      <xdr:colOff>1936748</xdr:colOff>
      <xdr:row>21</xdr:row>
      <xdr:rowOff>137584</xdr:rowOff>
    </xdr:to>
    <xdr:grpSp>
      <xdr:nvGrpSpPr>
        <xdr:cNvPr id="2" name="Ομάδα 1"/>
        <xdr:cNvGrpSpPr/>
      </xdr:nvGrpSpPr>
      <xdr:grpSpPr>
        <a:xfrm>
          <a:off x="52915" y="179917"/>
          <a:ext cx="1883833" cy="5324441"/>
          <a:chOff x="19050" y="76200"/>
          <a:chExt cx="1904999" cy="479954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tabColor theme="4"/>
  </sheetPr>
  <dimension ref="A1:AJ75"/>
  <sheetViews>
    <sheetView tabSelected="1" zoomScale="90" zoomScaleNormal="90" workbookViewId="0">
      <selection activeCell="C13" sqref="C13:I13"/>
    </sheetView>
  </sheetViews>
  <sheetFormatPr defaultRowHeight="15" x14ac:dyDescent="0.25"/>
  <cols>
    <col min="1" max="1" width="29.7109375" style="2" customWidth="1"/>
    <col min="2" max="2" width="16.140625" style="2" customWidth="1"/>
    <col min="3" max="4" width="9.140625" style="2"/>
    <col min="5" max="5" width="9.7109375" style="2" customWidth="1"/>
    <col min="6" max="6" width="9.140625" style="2" customWidth="1"/>
    <col min="7" max="7" width="10" style="2" customWidth="1"/>
    <col min="8" max="9" width="9.140625" style="2"/>
    <col min="10" max="10" width="6.85546875" style="2" customWidth="1"/>
    <col min="11" max="12" width="3.85546875" style="2" customWidth="1"/>
    <col min="13" max="20" width="9.140625" style="2"/>
    <col min="21" max="36" width="9.140625" style="3"/>
    <col min="37" max="16384" width="9.140625" style="2"/>
  </cols>
  <sheetData>
    <row r="1" spans="1:20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.75" customHeight="1" thickTop="1" x14ac:dyDescent="0.25">
      <c r="A2" s="3"/>
      <c r="B2" s="52"/>
      <c r="C2" s="53"/>
      <c r="D2" s="53"/>
      <c r="E2" s="53"/>
      <c r="F2" s="53"/>
      <c r="G2" s="53"/>
      <c r="H2" s="53"/>
      <c r="I2" s="53"/>
      <c r="J2" s="54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3"/>
      <c r="B3" s="55"/>
      <c r="C3" s="56"/>
      <c r="D3" s="56"/>
      <c r="E3" s="56"/>
      <c r="F3" s="56"/>
      <c r="G3" s="56"/>
      <c r="H3" s="56"/>
      <c r="I3" s="56"/>
      <c r="J3" s="5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3"/>
      <c r="B4" s="58"/>
      <c r="C4" s="59"/>
      <c r="D4" s="59"/>
      <c r="E4" s="59"/>
      <c r="F4" s="60">
        <v>2012</v>
      </c>
      <c r="G4" s="59"/>
      <c r="H4" s="59"/>
      <c r="I4" s="59"/>
      <c r="J4" s="61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/>
      <c r="B5" s="25"/>
      <c r="C5" s="62"/>
      <c r="D5" s="63"/>
      <c r="E5" s="63"/>
      <c r="F5" s="64"/>
      <c r="G5" s="59"/>
      <c r="H5" s="65"/>
      <c r="I5" s="65"/>
      <c r="J5" s="66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1" x14ac:dyDescent="0.25">
      <c r="A6" s="3"/>
      <c r="B6" s="67"/>
      <c r="C6" s="406" t="s">
        <v>235</v>
      </c>
      <c r="D6" s="406"/>
      <c r="E6" s="406"/>
      <c r="F6" s="406"/>
      <c r="G6" s="406"/>
      <c r="H6" s="406"/>
      <c r="I6" s="68"/>
      <c r="J6" s="5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3"/>
      <c r="B7" s="25"/>
      <c r="C7" s="408"/>
      <c r="D7" s="408"/>
      <c r="E7" s="408"/>
      <c r="F7" s="408"/>
      <c r="G7" s="408"/>
      <c r="H7" s="69"/>
      <c r="I7" s="70"/>
      <c r="J7" s="71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.75" customHeight="1" x14ac:dyDescent="0.25">
      <c r="A8" s="3"/>
      <c r="B8" s="72"/>
      <c r="C8" s="406" t="s">
        <v>146</v>
      </c>
      <c r="D8" s="406"/>
      <c r="E8" s="406"/>
      <c r="F8" s="406"/>
      <c r="G8" s="406"/>
      <c r="H8" s="406"/>
      <c r="I8" s="406"/>
      <c r="J8" s="7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5" customHeight="1" x14ac:dyDescent="0.25">
      <c r="A9" s="3"/>
      <c r="B9" s="74"/>
      <c r="C9" s="406"/>
      <c r="D9" s="406"/>
      <c r="E9" s="406"/>
      <c r="F9" s="406"/>
      <c r="G9" s="406"/>
      <c r="H9" s="406"/>
      <c r="I9" s="406"/>
      <c r="J9" s="75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" customHeight="1" x14ac:dyDescent="0.25">
      <c r="A10" s="3"/>
      <c r="B10" s="74"/>
      <c r="C10" s="406"/>
      <c r="D10" s="406"/>
      <c r="E10" s="406"/>
      <c r="F10" s="406"/>
      <c r="G10" s="406"/>
      <c r="H10" s="406"/>
      <c r="I10" s="406"/>
      <c r="J10" s="75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" customHeight="1" x14ac:dyDescent="0.25">
      <c r="A11" s="3"/>
      <c r="B11" s="74"/>
      <c r="C11" s="406"/>
      <c r="D11" s="406"/>
      <c r="E11" s="406"/>
      <c r="F11" s="406"/>
      <c r="G11" s="406"/>
      <c r="H11" s="406"/>
      <c r="I11" s="406"/>
      <c r="J11" s="75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25" customHeight="1" x14ac:dyDescent="0.25">
      <c r="A12" s="3"/>
      <c r="B12" s="74"/>
      <c r="C12" s="69"/>
      <c r="D12" s="69"/>
      <c r="E12" s="69"/>
      <c r="F12" s="69"/>
      <c r="G12" s="69"/>
      <c r="H12" s="69"/>
      <c r="I12" s="69"/>
      <c r="J12" s="75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/>
      <c r="B13" s="74"/>
      <c r="C13" s="407" t="s">
        <v>236</v>
      </c>
      <c r="D13" s="407"/>
      <c r="E13" s="407"/>
      <c r="F13" s="407"/>
      <c r="G13" s="407"/>
      <c r="H13" s="407"/>
      <c r="I13" s="407"/>
      <c r="J13" s="75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/>
      <c r="B14" s="74"/>
      <c r="C14" s="69"/>
      <c r="D14" s="69"/>
      <c r="E14" s="69"/>
      <c r="F14" s="69"/>
      <c r="G14" s="69"/>
      <c r="H14" s="69"/>
      <c r="I14" s="69"/>
      <c r="J14" s="75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/>
      <c r="B15" s="74"/>
      <c r="C15" s="69"/>
      <c r="D15" s="69"/>
      <c r="E15" s="69"/>
      <c r="F15" s="69"/>
      <c r="G15" s="69"/>
      <c r="H15" s="69"/>
      <c r="I15" s="69"/>
      <c r="J15" s="75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/>
      <c r="B16" s="74"/>
      <c r="C16" s="69"/>
      <c r="D16" s="69"/>
      <c r="E16" s="69"/>
      <c r="F16" s="69"/>
      <c r="G16" s="69"/>
      <c r="H16" s="69"/>
      <c r="I16" s="69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/>
      <c r="B17" s="74"/>
      <c r="C17" s="69"/>
      <c r="D17" s="69"/>
      <c r="E17" s="69"/>
      <c r="F17" s="69"/>
      <c r="G17" s="69"/>
      <c r="H17" s="69"/>
      <c r="I17" s="69"/>
      <c r="J17" s="75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/>
      <c r="B18" s="74"/>
      <c r="C18" s="69"/>
      <c r="D18" s="69"/>
      <c r="E18" s="69"/>
      <c r="F18" s="69"/>
      <c r="G18" s="69"/>
      <c r="H18" s="69"/>
      <c r="I18" s="69"/>
      <c r="J18" s="75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/>
      <c r="B19" s="74"/>
      <c r="C19" s="69"/>
      <c r="D19" s="69"/>
      <c r="E19" s="69"/>
      <c r="F19" s="69"/>
      <c r="G19" s="69"/>
      <c r="H19" s="69"/>
      <c r="I19" s="69"/>
      <c r="J19" s="75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5" customHeight="1" x14ac:dyDescent="0.25">
      <c r="A20" s="3"/>
      <c r="B20" s="74"/>
      <c r="C20" s="69"/>
      <c r="D20" s="407"/>
      <c r="E20" s="407"/>
      <c r="F20" s="407"/>
      <c r="G20" s="407"/>
      <c r="H20" s="69"/>
      <c r="I20" s="69"/>
      <c r="J20" s="75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/>
      <c r="B21" s="74"/>
      <c r="C21" s="4"/>
      <c r="D21" s="407"/>
      <c r="E21" s="407"/>
      <c r="F21" s="407"/>
      <c r="G21" s="407"/>
      <c r="H21" s="4"/>
      <c r="I21" s="4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5.75" x14ac:dyDescent="0.25">
      <c r="A22" s="3"/>
      <c r="B22" s="76"/>
      <c r="C22" s="4"/>
      <c r="D22" s="77"/>
      <c r="E22" s="78"/>
      <c r="F22" s="4"/>
      <c r="G22" s="4"/>
      <c r="H22" s="4"/>
      <c r="I22" s="4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5.75" x14ac:dyDescent="0.25">
      <c r="A23" s="3"/>
      <c r="B23" s="79"/>
      <c r="C23" s="80"/>
      <c r="D23" s="81"/>
      <c r="E23" s="78"/>
      <c r="F23" s="4"/>
      <c r="G23" s="4"/>
      <c r="H23" s="4"/>
      <c r="I23" s="4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/>
      <c r="B24" s="74"/>
      <c r="C24" s="4"/>
      <c r="D24" s="4"/>
      <c r="E24" s="4"/>
      <c r="F24" s="4"/>
      <c r="G24" s="4"/>
      <c r="H24" s="4"/>
      <c r="I24" s="4"/>
      <c r="J24" s="5"/>
      <c r="K24" s="4"/>
      <c r="L24" s="3"/>
      <c r="M24" s="3"/>
      <c r="N24" s="3"/>
      <c r="O24" s="3"/>
      <c r="P24" s="3"/>
      <c r="Q24" s="3"/>
      <c r="R24" s="3"/>
      <c r="S24" s="3"/>
      <c r="T24" s="3"/>
    </row>
    <row r="25" spans="1:20" ht="15.75" thickBot="1" x14ac:dyDescent="0.3">
      <c r="A25" s="3"/>
      <c r="B25" s="82"/>
      <c r="C25" s="83"/>
      <c r="D25" s="83"/>
      <c r="E25" s="83"/>
      <c r="F25" s="83"/>
      <c r="G25" s="83"/>
      <c r="H25" s="83"/>
      <c r="I25" s="83"/>
      <c r="J25" s="84"/>
      <c r="K25" s="4"/>
      <c r="L25" s="3"/>
      <c r="M25" s="3"/>
      <c r="N25" s="3"/>
      <c r="O25" s="3"/>
      <c r="P25" s="3"/>
      <c r="Q25" s="3"/>
      <c r="R25" s="3"/>
      <c r="S25" s="3"/>
      <c r="T25" s="3"/>
    </row>
    <row r="26" spans="1:20" ht="15.75" thickTop="1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3" customFormat="1" x14ac:dyDescent="0.25"/>
    <row r="29" spans="1:20" s="3" customFormat="1" x14ac:dyDescent="0.25"/>
    <row r="30" spans="1:20" s="3" customFormat="1" x14ac:dyDescent="0.25"/>
    <row r="31" spans="1:20" s="3" customFormat="1" x14ac:dyDescent="0.25"/>
    <row r="32" spans="1:2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</sheetData>
  <mergeCells count="5">
    <mergeCell ref="C8:I11"/>
    <mergeCell ref="D20:G21"/>
    <mergeCell ref="C6:H6"/>
    <mergeCell ref="C7:G7"/>
    <mergeCell ref="C13:I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D27"/>
  <sheetViews>
    <sheetView zoomScale="81" zoomScaleNormal="81" workbookViewId="0">
      <selection activeCell="B29" sqref="B29"/>
    </sheetView>
  </sheetViews>
  <sheetFormatPr defaultRowHeight="15" x14ac:dyDescent="0.25"/>
  <cols>
    <col min="1" max="1" width="29.7109375" style="3" customWidth="1"/>
    <col min="2" max="2" width="49.5703125" style="3" customWidth="1"/>
    <col min="3" max="3" width="10.85546875" style="3" customWidth="1"/>
    <col min="4" max="4" width="14.7109375" style="3" customWidth="1"/>
    <col min="5" max="5" width="2.140625" style="3" customWidth="1"/>
    <col min="6" max="6" width="3.85546875" style="3" customWidth="1"/>
    <col min="7" max="16384" width="9.140625" style="3"/>
  </cols>
  <sheetData>
    <row r="1" spans="2:4" ht="16.5" thickBot="1" x14ac:dyDescent="0.3">
      <c r="B1" s="502" t="s">
        <v>206</v>
      </c>
      <c r="C1" s="503"/>
      <c r="D1" s="503"/>
    </row>
    <row r="2" spans="2:4" x14ac:dyDescent="0.25">
      <c r="B2" s="509" t="s">
        <v>182</v>
      </c>
      <c r="C2" s="509" t="s">
        <v>62</v>
      </c>
      <c r="D2" s="511" t="s">
        <v>63</v>
      </c>
    </row>
    <row r="3" spans="2:4" ht="15.75" thickBot="1" x14ac:dyDescent="0.3">
      <c r="B3" s="510"/>
      <c r="C3" s="510"/>
      <c r="D3" s="512"/>
    </row>
    <row r="4" spans="2:4" ht="15.75" thickBot="1" x14ac:dyDescent="0.3">
      <c r="B4" s="513" t="s">
        <v>209</v>
      </c>
      <c r="C4" s="515" t="s">
        <v>1</v>
      </c>
      <c r="D4" s="518">
        <f>'ΚΟΣΤΟΣ ΕΠΕΝΔΥΣΗΣ'!E17</f>
        <v>1691835</v>
      </c>
    </row>
    <row r="5" spans="2:4" ht="15.75" thickBot="1" x14ac:dyDescent="0.3">
      <c r="B5" s="514"/>
      <c r="C5" s="516"/>
      <c r="D5" s="519"/>
    </row>
    <row r="6" spans="2:4" ht="16.5" customHeight="1" thickBot="1" x14ac:dyDescent="0.3">
      <c r="B6" s="514"/>
      <c r="C6" s="517"/>
      <c r="D6" s="520"/>
    </row>
    <row r="7" spans="2:4" ht="15.75" thickBot="1" x14ac:dyDescent="0.3">
      <c r="B7" s="400" t="s">
        <v>137</v>
      </c>
      <c r="C7" s="401" t="s">
        <v>1</v>
      </c>
      <c r="D7" s="402">
        <f>'ΧΡΗΜ. ΑΝΑΛΥΣΗ'!E15</f>
        <v>3964634.8199527552</v>
      </c>
    </row>
    <row r="8" spans="2:4" ht="15.75" thickBot="1" x14ac:dyDescent="0.3">
      <c r="B8" s="400" t="s">
        <v>145</v>
      </c>
      <c r="C8" s="401" t="s">
        <v>1</v>
      </c>
      <c r="D8" s="403">
        <f>D7/12</f>
        <v>330386.23499606294</v>
      </c>
    </row>
    <row r="9" spans="2:4" ht="15.75" thickBot="1" x14ac:dyDescent="0.3">
      <c r="B9" s="400" t="s">
        <v>126</v>
      </c>
      <c r="C9" s="401" t="s">
        <v>1</v>
      </c>
      <c r="D9" s="403">
        <f>'ΧΡΗΜ. ΑΝΑΛΥΣΗ'!E14</f>
        <v>210000</v>
      </c>
    </row>
    <row r="10" spans="2:4" ht="15.75" thickBot="1" x14ac:dyDescent="0.3">
      <c r="B10" s="349" t="s">
        <v>76</v>
      </c>
      <c r="C10" s="350" t="s">
        <v>37</v>
      </c>
      <c r="D10" s="351">
        <f>('ΤΑΜΕΙΑΚΕΣ ΡΟΕΣ - ΔΕΙΚΤΕΣ'!C25+'ΤΑΜΕΙΑΚΕΣ ΡΟΕΣ - ΔΕΙΚΤΕΣ'!C26)/2</f>
        <v>-0.21245991727500707</v>
      </c>
    </row>
    <row r="11" spans="2:4" ht="15.75" thickBot="1" x14ac:dyDescent="0.3">
      <c r="B11" s="349" t="s">
        <v>77</v>
      </c>
      <c r="C11" s="350" t="s">
        <v>37</v>
      </c>
      <c r="D11" s="351">
        <f>'ΤΑΜΕΙΑΚΕΣ ΡΟΕΣ - ΔΕΙΚΤΕΣ'!C29</f>
        <v>0</v>
      </c>
    </row>
    <row r="12" spans="2:4" ht="15.75" thickBot="1" x14ac:dyDescent="0.3">
      <c r="B12" s="352" t="s">
        <v>69</v>
      </c>
      <c r="C12" s="352" t="s">
        <v>78</v>
      </c>
      <c r="D12" s="353">
        <f>'ΤΑΜΕΙΑΚΕΣ ΡΟΕΣ - ΔΕΙΚΤΕΣ'!C37</f>
        <v>1.0437552574047892</v>
      </c>
    </row>
    <row r="13" spans="2:4" ht="15.75" thickBot="1" x14ac:dyDescent="0.3">
      <c r="B13" s="352" t="s">
        <v>68</v>
      </c>
      <c r="C13" s="350" t="s">
        <v>37</v>
      </c>
      <c r="D13" s="351">
        <f>'ΤΑΜΕΙΑΚΕΣ ΡΟΕΣ - ΔΕΙΚΤΕΣ'!C36</f>
        <v>0</v>
      </c>
    </row>
    <row r="14" spans="2:4" ht="15.75" thickBot="1" x14ac:dyDescent="0.3">
      <c r="B14" s="352" t="s">
        <v>128</v>
      </c>
      <c r="C14" s="352" t="s">
        <v>111</v>
      </c>
      <c r="D14" s="352" t="str">
        <f>'ΤΑΜΕΙΑΚΕΣ ΡΟΕΣ - ΔΕΙΚΤΕΣ'!O31</f>
        <v>9+</v>
      </c>
    </row>
    <row r="15" spans="2:4" ht="15.75" thickBot="1" x14ac:dyDescent="0.3">
      <c r="B15" s="352" t="s">
        <v>67</v>
      </c>
      <c r="C15" s="352" t="s">
        <v>111</v>
      </c>
      <c r="D15" s="352">
        <v>12</v>
      </c>
    </row>
    <row r="16" spans="2:4" ht="15.75" thickBot="1" x14ac:dyDescent="0.3">
      <c r="B16" s="504" t="s">
        <v>144</v>
      </c>
      <c r="C16" s="505" t="s">
        <v>1</v>
      </c>
      <c r="D16" s="507">
        <f>NPV(12%,'ΧΡΗΜ. ΑΝΑΛΥΣΗ'!F7:Q7)</f>
        <v>3928562.7549235481</v>
      </c>
    </row>
    <row r="17" spans="2:4" ht="15.75" thickBot="1" x14ac:dyDescent="0.3">
      <c r="B17" s="504"/>
      <c r="C17" s="506"/>
      <c r="D17" s="508"/>
    </row>
    <row r="18" spans="2:4" ht="15.75" thickBot="1" x14ac:dyDescent="0.3">
      <c r="B18" s="504" t="s">
        <v>143</v>
      </c>
      <c r="C18" s="505" t="s">
        <v>1</v>
      </c>
      <c r="D18" s="507">
        <f>NPV(12%,'ΧΡΗΜ. ΑΝΑΛΥΣΗ'!F11:Q11)</f>
        <v>1778015.6478674731</v>
      </c>
    </row>
    <row r="19" spans="2:4" ht="15" customHeight="1" thickBot="1" x14ac:dyDescent="0.3">
      <c r="B19" s="504"/>
      <c r="C19" s="506"/>
      <c r="D19" s="508"/>
    </row>
    <row r="20" spans="2:4" ht="15.75" thickBot="1" x14ac:dyDescent="0.3">
      <c r="B20" s="352" t="s">
        <v>180</v>
      </c>
      <c r="C20" s="350" t="s">
        <v>1</v>
      </c>
      <c r="D20" s="354">
        <f>ΔΑΝΕΙΑ!C10+ΔΑΝΕΙΑ!C20</f>
        <v>2097875.4</v>
      </c>
    </row>
    <row r="21" spans="2:4" ht="14.25" customHeight="1" thickBot="1" x14ac:dyDescent="0.3">
      <c r="B21" s="352" t="s">
        <v>142</v>
      </c>
      <c r="C21" s="352" t="s">
        <v>64</v>
      </c>
      <c r="D21" s="355">
        <f>'ΧΡΗΜ. ΑΝΑΛΥΣΗ'!E16</f>
        <v>44111072.807953209</v>
      </c>
    </row>
    <row r="22" spans="2:4" ht="15.75" thickBot="1" x14ac:dyDescent="0.3">
      <c r="B22" s="352" t="s">
        <v>141</v>
      </c>
      <c r="C22" s="352" t="s">
        <v>64</v>
      </c>
      <c r="D22" s="355">
        <f>'ΧΡΗΜ. ΑΝΑΛΥΣΗ'!E17</f>
        <v>16546708.657779904</v>
      </c>
    </row>
    <row r="23" spans="2:4" ht="15.75" thickBot="1" x14ac:dyDescent="0.3">
      <c r="B23" s="352" t="s">
        <v>140</v>
      </c>
      <c r="C23" s="352" t="s">
        <v>37</v>
      </c>
      <c r="D23" s="356">
        <f>100%-D22/D21</f>
        <v>0.62488537220984253</v>
      </c>
    </row>
    <row r="24" spans="2:4" ht="15.75" thickBot="1" x14ac:dyDescent="0.3">
      <c r="B24" s="352" t="s">
        <v>60</v>
      </c>
      <c r="C24" s="352" t="s">
        <v>3</v>
      </c>
      <c r="D24" s="355">
        <f>SUM('ΧΡΗΜ. ΑΝΑΛΥΣΗ'!F19:Q19)</f>
        <v>50683.622656338244</v>
      </c>
    </row>
    <row r="25" spans="2:4" ht="15.75" thickBot="1" x14ac:dyDescent="0.3">
      <c r="B25" s="352" t="s">
        <v>61</v>
      </c>
      <c r="C25" s="352" t="s">
        <v>3</v>
      </c>
      <c r="D25" s="355">
        <f>SUM('ΧΡΗΜ. ΑΝΑΛΥΣΗ'!F21:Q21)</f>
        <v>19012.168247789112</v>
      </c>
    </row>
    <row r="26" spans="2:4" ht="15.75" thickBot="1" x14ac:dyDescent="0.3">
      <c r="B26" s="352" t="s">
        <v>139</v>
      </c>
      <c r="C26" s="352" t="s">
        <v>3</v>
      </c>
      <c r="D26" s="355">
        <f>D24-D25</f>
        <v>31671.454408549132</v>
      </c>
    </row>
    <row r="27" spans="2:4" ht="15.75" thickBot="1" x14ac:dyDescent="0.3">
      <c r="B27" s="357" t="s">
        <v>138</v>
      </c>
      <c r="C27" s="357" t="s">
        <v>37</v>
      </c>
      <c r="D27" s="358">
        <f>100%-D25/D24</f>
        <v>0.62488537220984253</v>
      </c>
    </row>
  </sheetData>
  <mergeCells count="13">
    <mergeCell ref="B1:D1"/>
    <mergeCell ref="B16:B17"/>
    <mergeCell ref="C16:C17"/>
    <mergeCell ref="D16:D17"/>
    <mergeCell ref="B18:B19"/>
    <mergeCell ref="C18:C19"/>
    <mergeCell ref="D18:D19"/>
    <mergeCell ref="B2:B3"/>
    <mergeCell ref="C2:C3"/>
    <mergeCell ref="D2:D3"/>
    <mergeCell ref="B4:B6"/>
    <mergeCell ref="C4:C6"/>
    <mergeCell ref="D4:D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3">
    <tabColor theme="6"/>
  </sheetPr>
  <dimension ref="A1:AO168"/>
  <sheetViews>
    <sheetView topLeftCell="A4" zoomScale="90" zoomScaleNormal="90" workbookViewId="0">
      <selection activeCell="I25" sqref="I25"/>
    </sheetView>
  </sheetViews>
  <sheetFormatPr defaultRowHeight="15" x14ac:dyDescent="0.25"/>
  <cols>
    <col min="1" max="1" width="30.7109375" style="26" customWidth="1"/>
    <col min="2" max="2" width="15.85546875" style="105" customWidth="1"/>
    <col min="3" max="3" width="21.85546875" style="105" customWidth="1"/>
    <col min="4" max="4" width="8.28515625" style="105" customWidth="1"/>
    <col min="5" max="5" width="12.85546875" style="105" bestFit="1" customWidth="1"/>
    <col min="6" max="6" width="56.7109375" style="105" customWidth="1"/>
    <col min="7" max="7" width="19.85546875" style="105" customWidth="1"/>
    <col min="8" max="8" width="6.7109375" style="105" bestFit="1" customWidth="1"/>
    <col min="9" max="9" width="21.5703125" style="105" customWidth="1"/>
    <col min="10" max="10" width="12.140625" style="105" customWidth="1"/>
    <col min="11" max="11" width="7" style="26" customWidth="1"/>
    <col min="12" max="16384" width="9.140625" style="26"/>
  </cols>
  <sheetData>
    <row r="1" spans="1:41" ht="15.75" thickBot="1" x14ac:dyDescent="0.3">
      <c r="A1" s="3"/>
      <c r="B1" s="85"/>
      <c r="C1" s="85"/>
      <c r="D1" s="85"/>
      <c r="E1" s="85"/>
      <c r="F1" s="85"/>
      <c r="G1" s="85"/>
      <c r="H1" s="85"/>
      <c r="I1" s="85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5.75" x14ac:dyDescent="0.25">
      <c r="A2" s="3"/>
      <c r="B2" s="430" t="s">
        <v>199</v>
      </c>
      <c r="C2" s="431"/>
      <c r="D2" s="431"/>
      <c r="E2" s="431"/>
      <c r="F2" s="431"/>
      <c r="G2" s="431"/>
      <c r="H2" s="431"/>
      <c r="I2" s="431"/>
      <c r="J2" s="43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x14ac:dyDescent="0.25">
      <c r="A3" s="3"/>
      <c r="B3" s="433" t="s">
        <v>98</v>
      </c>
      <c r="C3" s="434"/>
      <c r="D3" s="434"/>
      <c r="E3" s="435"/>
      <c r="F3" s="413" t="s">
        <v>113</v>
      </c>
      <c r="G3" s="414"/>
      <c r="H3" s="415"/>
      <c r="I3" s="416" t="s">
        <v>184</v>
      </c>
      <c r="J3" s="41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22.5" x14ac:dyDescent="0.25">
      <c r="A4" s="3"/>
      <c r="B4" s="436" t="s">
        <v>48</v>
      </c>
      <c r="C4" s="437"/>
      <c r="D4" s="378" t="s">
        <v>37</v>
      </c>
      <c r="E4" s="378" t="s">
        <v>1</v>
      </c>
      <c r="F4" s="387" t="s">
        <v>207</v>
      </c>
      <c r="G4" s="388" t="s">
        <v>110</v>
      </c>
      <c r="H4" s="16" t="s">
        <v>109</v>
      </c>
      <c r="I4" s="11" t="s">
        <v>185</v>
      </c>
      <c r="J4" s="362" t="s">
        <v>110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x14ac:dyDescent="0.25">
      <c r="A5" s="3"/>
      <c r="B5" s="442" t="s">
        <v>147</v>
      </c>
      <c r="C5" s="443"/>
      <c r="D5" s="86">
        <v>0.5</v>
      </c>
      <c r="E5" s="381">
        <f>'ΚΟΣΤΟΣ ΕΠΕΝΔΥΣΗΣ'!E22*D5</f>
        <v>1048937.7</v>
      </c>
      <c r="F5" s="389" t="s">
        <v>225</v>
      </c>
      <c r="G5" s="404">
        <v>82.352941176470594</v>
      </c>
      <c r="H5" s="385">
        <v>500</v>
      </c>
      <c r="I5" s="87" t="s">
        <v>224</v>
      </c>
      <c r="J5" s="363">
        <v>27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x14ac:dyDescent="0.25">
      <c r="A6" s="3"/>
      <c r="B6" s="442" t="s">
        <v>49</v>
      </c>
      <c r="C6" s="443"/>
      <c r="D6" s="86">
        <v>0.5</v>
      </c>
      <c r="E6" s="381">
        <f>'ΚΟΣΤΟΣ ΕΠΕΝΔΥΣΗΣ'!E22*D6</f>
        <v>1048937.7</v>
      </c>
      <c r="F6" s="386" t="s">
        <v>226</v>
      </c>
      <c r="G6" s="405">
        <v>147.05882352941177</v>
      </c>
      <c r="H6" s="385">
        <v>109</v>
      </c>
      <c r="I6" s="87" t="s">
        <v>227</v>
      </c>
      <c r="J6" s="363">
        <v>36</v>
      </c>
      <c r="K6" s="3"/>
      <c r="L6" s="3" t="s">
        <v>127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x14ac:dyDescent="0.25">
      <c r="A7" s="3"/>
      <c r="B7" s="442" t="s">
        <v>50</v>
      </c>
      <c r="C7" s="443"/>
      <c r="D7" s="86">
        <v>0</v>
      </c>
      <c r="E7" s="381">
        <f>'ΚΟΣΤΟΣ ΕΠΕΝΔΥΣΗΣ'!E21*D7</f>
        <v>0</v>
      </c>
      <c r="F7" s="386" t="s">
        <v>228</v>
      </c>
      <c r="G7" s="405">
        <v>294.11764705882354</v>
      </c>
      <c r="H7" s="385">
        <v>294</v>
      </c>
      <c r="I7" s="87" t="s">
        <v>229</v>
      </c>
      <c r="J7" s="363">
        <v>80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x14ac:dyDescent="0.25">
      <c r="A8" s="3"/>
      <c r="B8" s="440" t="s">
        <v>6</v>
      </c>
      <c r="C8" s="441"/>
      <c r="D8" s="88">
        <f>SUM(D5:D7)</f>
        <v>1</v>
      </c>
      <c r="E8" s="382">
        <f>SUM(E5:E7)</f>
        <v>2097875.4</v>
      </c>
      <c r="F8" s="386" t="s">
        <v>230</v>
      </c>
      <c r="G8" s="405">
        <v>147.05882352941177</v>
      </c>
      <c r="H8" s="385">
        <v>3284</v>
      </c>
      <c r="I8" s="87" t="s">
        <v>227</v>
      </c>
      <c r="J8" s="363">
        <v>40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5">
      <c r="A9" s="3"/>
      <c r="B9" s="438" t="s">
        <v>54</v>
      </c>
      <c r="C9" s="439"/>
      <c r="D9" s="379"/>
      <c r="E9" s="379"/>
      <c r="F9" s="386" t="s">
        <v>231</v>
      </c>
      <c r="G9" s="405">
        <v>294.11764705882354</v>
      </c>
      <c r="H9" s="385">
        <v>10</v>
      </c>
      <c r="I9" s="87" t="s">
        <v>232</v>
      </c>
      <c r="J9" s="363">
        <v>90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5">
      <c r="A10" s="3"/>
      <c r="B10" s="409" t="s">
        <v>214</v>
      </c>
      <c r="C10" s="410"/>
      <c r="D10" s="89" t="s">
        <v>37</v>
      </c>
      <c r="E10" s="383">
        <v>3.7999999999999999E-2</v>
      </c>
      <c r="F10" s="386" t="s">
        <v>233</v>
      </c>
      <c r="G10" s="405">
        <v>470.58823529411768</v>
      </c>
      <c r="H10" s="385">
        <v>317</v>
      </c>
      <c r="I10" s="87" t="s">
        <v>234</v>
      </c>
      <c r="J10" s="363">
        <v>120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5">
      <c r="A11" s="3"/>
      <c r="B11" s="409" t="s">
        <v>215</v>
      </c>
      <c r="C11" s="410"/>
      <c r="D11" s="89" t="s">
        <v>37</v>
      </c>
      <c r="E11" s="383">
        <v>4.4999999999999998E-2</v>
      </c>
      <c r="F11" s="386"/>
      <c r="G11" s="390"/>
      <c r="H11" s="385"/>
      <c r="I11" s="87"/>
      <c r="J11" s="363"/>
      <c r="K11" s="3"/>
      <c r="L11" s="3" t="s">
        <v>127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x14ac:dyDescent="0.25">
      <c r="A12" s="3"/>
      <c r="B12" s="409" t="s">
        <v>216</v>
      </c>
      <c r="C12" s="410"/>
      <c r="D12" s="377" t="s">
        <v>111</v>
      </c>
      <c r="E12" s="384">
        <v>12</v>
      </c>
      <c r="F12" s="386"/>
      <c r="G12" s="390"/>
      <c r="H12" s="385"/>
      <c r="I12" s="87"/>
      <c r="J12" s="363"/>
      <c r="K12" s="4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x14ac:dyDescent="0.25">
      <c r="A13" s="3"/>
      <c r="B13" s="428" t="s">
        <v>127</v>
      </c>
      <c r="C13" s="429"/>
      <c r="D13" s="393" t="s">
        <v>127</v>
      </c>
      <c r="E13" s="394" t="s">
        <v>127</v>
      </c>
      <c r="F13" s="391"/>
      <c r="G13" s="392" t="s">
        <v>148</v>
      </c>
      <c r="H13" s="385">
        <f>SUM(H5:H12)</f>
        <v>4514</v>
      </c>
      <c r="I13" s="87"/>
      <c r="J13" s="363"/>
      <c r="K13" s="4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x14ac:dyDescent="0.25">
      <c r="A14" s="3"/>
      <c r="B14" s="424" t="s">
        <v>149</v>
      </c>
      <c r="C14" s="425"/>
      <c r="D14" s="426"/>
      <c r="E14" s="426"/>
      <c r="F14" s="427"/>
      <c r="G14" s="421" t="s">
        <v>150</v>
      </c>
      <c r="H14" s="422"/>
      <c r="I14" s="422"/>
      <c r="J14" s="423"/>
      <c r="K14" s="4"/>
      <c r="L14" s="3"/>
      <c r="M14" s="3" t="s">
        <v>127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5">
      <c r="A15" s="3"/>
      <c r="B15" s="364"/>
      <c r="C15" s="14"/>
      <c r="D15" s="20" t="s">
        <v>4</v>
      </c>
      <c r="E15" s="20" t="s">
        <v>190</v>
      </c>
      <c r="F15" s="20" t="s">
        <v>6</v>
      </c>
      <c r="G15" s="21"/>
      <c r="H15" s="20" t="s">
        <v>4</v>
      </c>
      <c r="I15" s="20" t="s">
        <v>190</v>
      </c>
      <c r="J15" s="365" t="s">
        <v>6</v>
      </c>
      <c r="K15" s="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5">
      <c r="A16" s="3"/>
      <c r="B16" s="366"/>
      <c r="C16" s="90" t="s">
        <v>187</v>
      </c>
      <c r="D16" s="91">
        <v>1100</v>
      </c>
      <c r="E16" s="92">
        <v>12</v>
      </c>
      <c r="F16" s="93">
        <f>D16*E16</f>
        <v>13200</v>
      </c>
      <c r="G16" s="94" t="s">
        <v>187</v>
      </c>
      <c r="H16" s="91">
        <v>200</v>
      </c>
      <c r="I16" s="92">
        <v>120</v>
      </c>
      <c r="J16" s="367">
        <f>H16*I16</f>
        <v>24000</v>
      </c>
      <c r="K16" s="4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x14ac:dyDescent="0.25">
      <c r="A17" s="3"/>
      <c r="B17" s="366"/>
      <c r="C17" s="90" t="s">
        <v>186</v>
      </c>
      <c r="D17" s="95">
        <v>350</v>
      </c>
      <c r="E17" s="92">
        <v>15</v>
      </c>
      <c r="F17" s="93">
        <f>D17*E17</f>
        <v>5250</v>
      </c>
      <c r="G17" s="94" t="s">
        <v>186</v>
      </c>
      <c r="H17" s="95"/>
      <c r="I17" s="92"/>
      <c r="J17" s="367">
        <f t="shared" ref="J17:J20" si="0">H17*I17</f>
        <v>0</v>
      </c>
      <c r="K17" s="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ht="15" customHeight="1" x14ac:dyDescent="0.25">
      <c r="A18" s="3"/>
      <c r="B18" s="366"/>
      <c r="C18" s="90" t="s">
        <v>188</v>
      </c>
      <c r="D18" s="95">
        <v>200</v>
      </c>
      <c r="E18" s="92">
        <v>120</v>
      </c>
      <c r="F18" s="93">
        <f>D18*E18</f>
        <v>24000</v>
      </c>
      <c r="G18" s="94" t="s">
        <v>188</v>
      </c>
      <c r="H18" s="95"/>
      <c r="I18" s="92"/>
      <c r="J18" s="367">
        <f t="shared" si="0"/>
        <v>0</v>
      </c>
      <c r="K18" s="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x14ac:dyDescent="0.25">
      <c r="A19" s="3"/>
      <c r="B19" s="366"/>
      <c r="C19" s="90" t="s">
        <v>189</v>
      </c>
      <c r="D19" s="95">
        <v>2</v>
      </c>
      <c r="E19" s="92">
        <v>24000</v>
      </c>
      <c r="F19" s="93">
        <f>D19*E19</f>
        <v>48000</v>
      </c>
      <c r="G19" s="94" t="s">
        <v>7</v>
      </c>
      <c r="H19" s="95">
        <v>2</v>
      </c>
      <c r="I19" s="92">
        <v>24000</v>
      </c>
      <c r="J19" s="367">
        <f t="shared" si="0"/>
        <v>48000</v>
      </c>
      <c r="K19" s="4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x14ac:dyDescent="0.25">
      <c r="A20" s="3"/>
      <c r="B20" s="366"/>
      <c r="C20" s="90" t="s">
        <v>191</v>
      </c>
      <c r="D20" s="95">
        <v>1</v>
      </c>
      <c r="E20" s="92">
        <v>15000</v>
      </c>
      <c r="F20" s="93">
        <f>D20*E20</f>
        <v>15000</v>
      </c>
      <c r="G20" s="94" t="s">
        <v>191</v>
      </c>
      <c r="H20" s="95">
        <v>1</v>
      </c>
      <c r="I20" s="92">
        <v>13662.5</v>
      </c>
      <c r="J20" s="367">
        <f t="shared" si="0"/>
        <v>13662.5</v>
      </c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x14ac:dyDescent="0.25">
      <c r="A21" s="3"/>
      <c r="B21" s="418" t="s">
        <v>9</v>
      </c>
      <c r="C21" s="419"/>
      <c r="D21" s="419"/>
      <c r="E21" s="419"/>
      <c r="F21" s="96">
        <f>SUM(F16:F20)</f>
        <v>105450</v>
      </c>
      <c r="G21" s="420" t="s">
        <v>9</v>
      </c>
      <c r="H21" s="419"/>
      <c r="I21" s="419"/>
      <c r="J21" s="368">
        <f>SUM(J16:J20)</f>
        <v>85662.5</v>
      </c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x14ac:dyDescent="0.25">
      <c r="A22" s="3"/>
      <c r="B22" s="411" t="s">
        <v>154</v>
      </c>
      <c r="C22" s="97" t="s">
        <v>152</v>
      </c>
      <c r="D22" s="97" t="s">
        <v>112</v>
      </c>
      <c r="E22" s="97" t="s">
        <v>153</v>
      </c>
      <c r="F22" s="98" t="s">
        <v>210</v>
      </c>
      <c r="G22" s="99" t="s">
        <v>103</v>
      </c>
      <c r="H22" s="377"/>
      <c r="I22" s="4"/>
      <c r="J22" s="245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x14ac:dyDescent="0.25">
      <c r="A23" s="3"/>
      <c r="B23" s="411"/>
      <c r="C23" s="100" t="str">
        <f t="shared" ref="C23:C28" si="1">I5</f>
        <v>Λαμπτήρας LED ≤ 30W</v>
      </c>
      <c r="D23" s="100">
        <v>27</v>
      </c>
      <c r="E23" s="374">
        <v>90</v>
      </c>
      <c r="F23" s="101" t="s">
        <v>213</v>
      </c>
      <c r="G23" s="375">
        <v>120000</v>
      </c>
      <c r="H23" s="4"/>
      <c r="I23" s="4"/>
      <c r="J23" s="245"/>
      <c r="K23" s="4"/>
      <c r="L23" s="3" t="s">
        <v>127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x14ac:dyDescent="0.25">
      <c r="A24" s="3"/>
      <c r="B24" s="411"/>
      <c r="C24" s="100" t="str">
        <f t="shared" si="1"/>
        <v>Λαμπτήρας LED ≤ 55W</v>
      </c>
      <c r="D24" s="100">
        <v>36</v>
      </c>
      <c r="E24" s="374">
        <v>120</v>
      </c>
      <c r="F24" s="102" t="s">
        <v>211</v>
      </c>
      <c r="G24" s="375">
        <v>185150</v>
      </c>
      <c r="H24" s="4"/>
      <c r="I24" s="4"/>
      <c r="J24" s="245"/>
      <c r="K24" s="4"/>
      <c r="L24" s="3" t="s">
        <v>127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x14ac:dyDescent="0.25">
      <c r="A25" s="3"/>
      <c r="B25" s="411"/>
      <c r="C25" s="100" t="str">
        <f t="shared" si="1"/>
        <v>Λαμπτήρας LED ≤ 110W</v>
      </c>
      <c r="D25" s="100">
        <v>80</v>
      </c>
      <c r="E25" s="374">
        <v>150</v>
      </c>
      <c r="F25" s="103" t="s">
        <v>70</v>
      </c>
      <c r="G25" s="375">
        <v>30000</v>
      </c>
      <c r="H25" s="4"/>
      <c r="I25" s="4"/>
      <c r="J25" s="245"/>
      <c r="K25" s="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x14ac:dyDescent="0.25">
      <c r="A26" s="3"/>
      <c r="B26" s="411"/>
      <c r="C26" s="100" t="str">
        <f t="shared" si="1"/>
        <v>Λαμπτήρας LED ≤ 55W</v>
      </c>
      <c r="D26" s="100">
        <v>40</v>
      </c>
      <c r="E26" s="375">
        <v>320</v>
      </c>
      <c r="F26" s="4"/>
      <c r="G26" s="4"/>
      <c r="H26" s="4"/>
      <c r="I26" s="4"/>
      <c r="J26" s="245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x14ac:dyDescent="0.25">
      <c r="A27" s="3"/>
      <c r="B27" s="411"/>
      <c r="C27" s="100" t="str">
        <f t="shared" si="1"/>
        <v>Φωτιστικό Δρόμου ≤ 110W</v>
      </c>
      <c r="D27" s="100">
        <v>90</v>
      </c>
      <c r="E27" s="375">
        <v>550</v>
      </c>
      <c r="F27" s="4"/>
      <c r="G27" s="4"/>
      <c r="H27" s="4"/>
      <c r="I27" s="4"/>
      <c r="J27" s="245"/>
      <c r="K27" s="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x14ac:dyDescent="0.25">
      <c r="A28" s="3"/>
      <c r="B28" s="411"/>
      <c r="C28" s="100" t="str">
        <f t="shared" si="1"/>
        <v>Φωτιστικό Δρόμου ≤ 180W</v>
      </c>
      <c r="D28" s="100">
        <v>120</v>
      </c>
      <c r="E28" s="375">
        <v>625</v>
      </c>
      <c r="F28" s="4"/>
      <c r="G28" s="4" t="s">
        <v>127</v>
      </c>
      <c r="H28" s="4"/>
      <c r="I28" s="4"/>
      <c r="J28" s="24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ht="15.75" thickBot="1" x14ac:dyDescent="0.3">
      <c r="A29" s="3"/>
      <c r="B29" s="412"/>
      <c r="C29" s="369"/>
      <c r="D29" s="369"/>
      <c r="E29" s="376"/>
      <c r="F29" s="258"/>
      <c r="G29" s="258"/>
      <c r="H29" s="258"/>
      <c r="I29" s="258"/>
      <c r="J29" s="25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x14ac:dyDescent="0.25">
      <c r="A30" s="3"/>
      <c r="B30" s="85"/>
      <c r="C30" s="85"/>
      <c r="D30" s="85"/>
      <c r="E30" s="85"/>
      <c r="F30" s="85"/>
      <c r="G30" s="85"/>
      <c r="H30" s="85"/>
      <c r="I30" s="85"/>
      <c r="J30" s="8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x14ac:dyDescent="0.25">
      <c r="A31" s="3"/>
      <c r="B31" s="104"/>
      <c r="C31" s="104"/>
      <c r="D31" s="104"/>
      <c r="E31" s="373"/>
      <c r="F31" s="104"/>
      <c r="G31" s="104"/>
      <c r="H31" s="104"/>
      <c r="I31" s="104"/>
      <c r="J31" s="10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x14ac:dyDescent="0.25">
      <c r="A32" s="3"/>
      <c r="B32" s="104"/>
      <c r="C32" s="104"/>
      <c r="D32" s="104"/>
      <c r="E32" s="104"/>
      <c r="F32" s="104"/>
      <c r="G32" s="104"/>
      <c r="H32" s="104"/>
      <c r="I32" s="104"/>
      <c r="J32" s="10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x14ac:dyDescent="0.25">
      <c r="A33" s="3"/>
      <c r="B33" s="104"/>
      <c r="C33" s="104"/>
      <c r="D33" s="104"/>
      <c r="E33" s="104"/>
      <c r="F33" s="104"/>
      <c r="G33" s="104"/>
      <c r="H33" s="104"/>
      <c r="I33" s="104"/>
      <c r="J33" s="10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x14ac:dyDescent="0.25">
      <c r="A34" s="3"/>
      <c r="B34" s="104"/>
      <c r="C34" s="104"/>
      <c r="D34" s="104"/>
      <c r="E34" s="104"/>
      <c r="F34" s="104" t="s">
        <v>127</v>
      </c>
      <c r="G34" s="104"/>
      <c r="H34" s="104"/>
      <c r="I34" s="104"/>
      <c r="J34" s="10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x14ac:dyDescent="0.25">
      <c r="A35" s="3"/>
      <c r="B35" s="104"/>
      <c r="C35" s="104"/>
      <c r="D35" s="104"/>
      <c r="E35" s="104"/>
      <c r="F35" s="104"/>
      <c r="G35" s="104"/>
      <c r="H35" s="104"/>
      <c r="I35" s="104"/>
      <c r="J35" s="10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x14ac:dyDescent="0.25">
      <c r="A36" s="3"/>
      <c r="B36" s="104"/>
      <c r="C36" s="104"/>
      <c r="D36" s="104"/>
      <c r="E36" s="104"/>
      <c r="F36" s="104"/>
      <c r="G36" s="104"/>
      <c r="H36" s="104"/>
      <c r="I36" s="104"/>
      <c r="J36" s="10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x14ac:dyDescent="0.25">
      <c r="A37" s="3"/>
      <c r="B37" s="104"/>
      <c r="C37" s="104"/>
      <c r="D37" s="104"/>
      <c r="E37" s="104"/>
      <c r="F37" s="104"/>
      <c r="G37" s="104"/>
      <c r="H37" s="104"/>
      <c r="I37" s="104"/>
      <c r="J37" s="10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x14ac:dyDescent="0.25">
      <c r="A38" s="3"/>
      <c r="B38" s="104"/>
      <c r="C38" s="104"/>
      <c r="D38" s="104"/>
      <c r="E38" s="104"/>
      <c r="F38" s="104"/>
      <c r="G38" s="104"/>
      <c r="H38" s="104"/>
      <c r="I38" s="104"/>
      <c r="J38" s="10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25">
      <c r="A39" s="3"/>
      <c r="B39" s="104"/>
      <c r="C39" s="104"/>
      <c r="D39" s="104"/>
      <c r="E39" s="104"/>
      <c r="F39" s="104"/>
      <c r="G39" s="104"/>
      <c r="H39" s="104"/>
      <c r="I39" s="104"/>
      <c r="J39" s="10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x14ac:dyDescent="0.25">
      <c r="A40" s="3"/>
      <c r="B40" s="104"/>
      <c r="C40" s="104"/>
      <c r="D40" s="104"/>
      <c r="E40" s="104"/>
      <c r="F40" s="104"/>
      <c r="G40" s="104"/>
      <c r="H40" s="104"/>
      <c r="I40" s="104"/>
      <c r="J40" s="10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x14ac:dyDescent="0.25">
      <c r="A41" s="3"/>
      <c r="B41" s="104"/>
      <c r="C41" s="104"/>
      <c r="D41" s="104"/>
      <c r="E41" s="104"/>
      <c r="F41" s="104"/>
      <c r="G41" s="104"/>
      <c r="H41" s="104"/>
      <c r="I41" s="104"/>
      <c r="J41" s="10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x14ac:dyDescent="0.25">
      <c r="A42" s="3"/>
      <c r="B42" s="104"/>
      <c r="C42" s="104"/>
      <c r="D42" s="104"/>
      <c r="E42" s="104"/>
      <c r="F42" s="104"/>
      <c r="G42" s="104"/>
      <c r="H42" s="104"/>
      <c r="I42" s="104"/>
      <c r="J42" s="10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x14ac:dyDescent="0.25">
      <c r="A43" s="3"/>
      <c r="B43" s="104"/>
      <c r="C43" s="104"/>
      <c r="D43" s="104"/>
      <c r="E43" s="104"/>
      <c r="F43" s="104"/>
      <c r="G43" s="104"/>
      <c r="H43" s="104"/>
      <c r="I43" s="104"/>
      <c r="J43" s="10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x14ac:dyDescent="0.25">
      <c r="A44" s="3"/>
      <c r="B44" s="104"/>
      <c r="C44" s="104"/>
      <c r="D44" s="104"/>
      <c r="E44" s="104"/>
      <c r="F44" s="104"/>
      <c r="G44" s="104"/>
      <c r="H44" s="104"/>
      <c r="I44" s="104"/>
      <c r="J44" s="10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x14ac:dyDescent="0.25">
      <c r="A45" s="3"/>
      <c r="B45" s="104"/>
      <c r="C45" s="104"/>
      <c r="D45" s="104"/>
      <c r="E45" s="104"/>
      <c r="F45" s="104"/>
      <c r="G45" s="104"/>
      <c r="H45" s="104"/>
      <c r="I45" s="104"/>
      <c r="J45" s="10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x14ac:dyDescent="0.25">
      <c r="A46" s="3"/>
      <c r="B46" s="104"/>
      <c r="C46" s="104"/>
      <c r="D46" s="104"/>
      <c r="E46" s="104"/>
      <c r="F46" s="104"/>
      <c r="G46" s="104"/>
      <c r="H46" s="104"/>
      <c r="I46" s="104"/>
      <c r="J46" s="10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x14ac:dyDescent="0.25">
      <c r="A47" s="3"/>
      <c r="B47" s="104"/>
      <c r="C47" s="104"/>
      <c r="D47" s="104"/>
      <c r="E47" s="104"/>
      <c r="F47" s="104"/>
      <c r="G47" s="104"/>
      <c r="H47" s="104"/>
      <c r="I47" s="104"/>
      <c r="J47" s="10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1:41" x14ac:dyDescent="0.25">
      <c r="A48" s="3"/>
      <c r="B48" s="104"/>
      <c r="C48" s="104"/>
      <c r="D48" s="104"/>
      <c r="E48" s="104"/>
      <c r="F48" s="104"/>
      <c r="G48" s="104"/>
      <c r="H48" s="104"/>
      <c r="I48" s="104"/>
      <c r="J48" s="10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x14ac:dyDescent="0.25">
      <c r="A49" s="3"/>
      <c r="B49" s="104"/>
      <c r="C49" s="104"/>
      <c r="D49" s="104"/>
      <c r="E49" s="104"/>
      <c r="F49" s="104"/>
      <c r="G49" s="104"/>
      <c r="H49" s="104"/>
      <c r="I49" s="104"/>
      <c r="J49" s="10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x14ac:dyDescent="0.25">
      <c r="A50" s="3"/>
      <c r="B50" s="104"/>
      <c r="C50" s="104"/>
      <c r="D50" s="104"/>
      <c r="E50" s="104"/>
      <c r="F50" s="104"/>
      <c r="G50" s="104"/>
      <c r="H50" s="104"/>
      <c r="I50" s="104"/>
      <c r="J50" s="10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x14ac:dyDescent="0.25">
      <c r="A51" s="3"/>
      <c r="B51" s="104"/>
      <c r="C51" s="104"/>
      <c r="D51" s="104"/>
      <c r="E51" s="104"/>
      <c r="F51" s="104"/>
      <c r="G51" s="104"/>
      <c r="H51" s="104"/>
      <c r="I51" s="104"/>
      <c r="J51" s="10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41" x14ac:dyDescent="0.25">
      <c r="A52" s="3"/>
      <c r="B52" s="104"/>
      <c r="C52" s="104"/>
      <c r="D52" s="104"/>
      <c r="E52" s="104"/>
      <c r="F52" s="104"/>
      <c r="G52" s="104"/>
      <c r="H52" s="104"/>
      <c r="I52" s="104"/>
      <c r="J52" s="10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x14ac:dyDescent="0.25">
      <c r="A53" s="3"/>
      <c r="B53" s="104"/>
      <c r="C53" s="104"/>
      <c r="D53" s="104"/>
      <c r="E53" s="104"/>
      <c r="F53" s="104"/>
      <c r="G53" s="104"/>
      <c r="H53" s="104"/>
      <c r="I53" s="104"/>
      <c r="J53" s="10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x14ac:dyDescent="0.25">
      <c r="A54" s="3"/>
      <c r="B54" s="104"/>
      <c r="C54" s="104"/>
      <c r="D54" s="104"/>
      <c r="E54" s="104"/>
      <c r="F54" s="104"/>
      <c r="G54" s="104"/>
      <c r="H54" s="104"/>
      <c r="I54" s="104"/>
      <c r="J54" s="10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x14ac:dyDescent="0.25">
      <c r="A55" s="3"/>
      <c r="B55" s="104"/>
      <c r="C55" s="104"/>
      <c r="D55" s="104"/>
      <c r="E55" s="104"/>
      <c r="F55" s="104"/>
      <c r="G55" s="104"/>
      <c r="H55" s="104"/>
      <c r="I55" s="104"/>
      <c r="J55" s="10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x14ac:dyDescent="0.25">
      <c r="A56" s="3"/>
      <c r="B56" s="104"/>
      <c r="C56" s="104"/>
      <c r="D56" s="104"/>
      <c r="E56" s="104"/>
      <c r="F56" s="104"/>
      <c r="G56" s="104"/>
      <c r="H56" s="104"/>
      <c r="I56" s="104"/>
      <c r="J56" s="10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x14ac:dyDescent="0.25">
      <c r="A57" s="3"/>
      <c r="B57" s="104"/>
      <c r="C57" s="104"/>
      <c r="D57" s="104"/>
      <c r="E57" s="104"/>
      <c r="F57" s="104"/>
      <c r="G57" s="104"/>
      <c r="H57" s="104"/>
      <c r="I57" s="104"/>
      <c r="J57" s="10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25">
      <c r="A58" s="3"/>
      <c r="B58" s="104"/>
      <c r="C58" s="104"/>
      <c r="D58" s="104"/>
      <c r="E58" s="104"/>
      <c r="F58" s="104"/>
      <c r="G58" s="104"/>
      <c r="H58" s="104"/>
      <c r="I58" s="104"/>
      <c r="J58" s="10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x14ac:dyDescent="0.25">
      <c r="A59" s="3"/>
      <c r="B59" s="104"/>
      <c r="C59" s="104"/>
      <c r="D59" s="104"/>
      <c r="E59" s="104"/>
      <c r="F59" s="104"/>
      <c r="G59" s="104"/>
      <c r="H59" s="104"/>
      <c r="I59" s="104"/>
      <c r="J59" s="10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x14ac:dyDescent="0.25">
      <c r="A60" s="3"/>
      <c r="B60" s="104"/>
      <c r="C60" s="104"/>
      <c r="D60" s="104"/>
      <c r="E60" s="104"/>
      <c r="F60" s="104"/>
      <c r="G60" s="104"/>
      <c r="H60" s="104"/>
      <c r="I60" s="104"/>
      <c r="J60" s="10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x14ac:dyDescent="0.25">
      <c r="A61" s="3"/>
      <c r="B61" s="104"/>
      <c r="C61" s="104"/>
      <c r="D61" s="104"/>
      <c r="E61" s="104"/>
      <c r="F61" s="104"/>
      <c r="G61" s="104"/>
      <c r="H61" s="104"/>
      <c r="I61" s="104"/>
      <c r="J61" s="10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x14ac:dyDescent="0.25">
      <c r="A62" s="3"/>
      <c r="B62" s="104"/>
      <c r="C62" s="104"/>
      <c r="D62" s="104"/>
      <c r="E62" s="104"/>
      <c r="F62" s="104"/>
      <c r="G62" s="104"/>
      <c r="H62" s="104"/>
      <c r="I62" s="104"/>
      <c r="J62" s="10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A63" s="3"/>
      <c r="B63" s="104"/>
      <c r="C63" s="104"/>
      <c r="D63" s="104"/>
      <c r="E63" s="104"/>
      <c r="F63" s="104"/>
      <c r="G63" s="104"/>
      <c r="H63" s="104"/>
      <c r="I63" s="104"/>
      <c r="J63" s="10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x14ac:dyDescent="0.25">
      <c r="A64" s="3"/>
      <c r="B64" s="104"/>
      <c r="C64" s="104"/>
      <c r="D64" s="104"/>
      <c r="E64" s="104"/>
      <c r="F64" s="104"/>
      <c r="G64" s="104"/>
      <c r="H64" s="104"/>
      <c r="I64" s="104"/>
      <c r="J64" s="10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x14ac:dyDescent="0.25">
      <c r="A65" s="3"/>
      <c r="B65" s="104"/>
      <c r="C65" s="104"/>
      <c r="D65" s="104"/>
      <c r="E65" s="104"/>
      <c r="F65" s="104"/>
      <c r="G65" s="104"/>
      <c r="H65" s="104"/>
      <c r="I65" s="104"/>
      <c r="J65" s="10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x14ac:dyDescent="0.25">
      <c r="A66" s="3"/>
      <c r="B66" s="104"/>
      <c r="C66" s="104"/>
      <c r="D66" s="104"/>
      <c r="E66" s="104"/>
      <c r="F66" s="104"/>
      <c r="G66" s="104"/>
      <c r="H66" s="104"/>
      <c r="I66" s="104"/>
      <c r="J66" s="10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x14ac:dyDescent="0.25">
      <c r="A67" s="3"/>
      <c r="B67" s="104"/>
      <c r="C67" s="104"/>
      <c r="D67" s="104"/>
      <c r="E67" s="104"/>
      <c r="F67" s="104"/>
      <c r="G67" s="104"/>
      <c r="H67" s="104"/>
      <c r="I67" s="104"/>
      <c r="J67" s="10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x14ac:dyDescent="0.25">
      <c r="A68" s="3"/>
      <c r="B68" s="104"/>
      <c r="C68" s="104"/>
      <c r="D68" s="104"/>
      <c r="E68" s="104"/>
      <c r="F68" s="104"/>
      <c r="G68" s="104"/>
      <c r="H68" s="104"/>
      <c r="I68" s="104"/>
      <c r="J68" s="10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x14ac:dyDescent="0.25">
      <c r="A69" s="3"/>
      <c r="B69" s="104"/>
      <c r="C69" s="104"/>
      <c r="D69" s="104"/>
      <c r="E69" s="104"/>
      <c r="F69" s="104"/>
      <c r="G69" s="104"/>
      <c r="H69" s="104"/>
      <c r="I69" s="104"/>
      <c r="J69" s="10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x14ac:dyDescent="0.25">
      <c r="A70" s="3"/>
      <c r="B70" s="104"/>
      <c r="C70" s="104"/>
      <c r="D70" s="104"/>
      <c r="E70" s="104"/>
      <c r="F70" s="104"/>
      <c r="G70" s="104"/>
      <c r="H70" s="104"/>
      <c r="I70" s="104"/>
      <c r="J70" s="10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x14ac:dyDescent="0.25">
      <c r="A71" s="3"/>
      <c r="B71" s="104"/>
      <c r="C71" s="104"/>
      <c r="D71" s="104"/>
      <c r="E71" s="104"/>
      <c r="F71" s="104"/>
      <c r="G71" s="104"/>
      <c r="H71" s="104"/>
      <c r="I71" s="104"/>
      <c r="J71" s="10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x14ac:dyDescent="0.25">
      <c r="A72" s="3"/>
      <c r="B72" s="104"/>
      <c r="C72" s="104"/>
      <c r="D72" s="104"/>
      <c r="E72" s="104"/>
      <c r="F72" s="104"/>
      <c r="G72" s="104"/>
      <c r="H72" s="104"/>
      <c r="I72" s="104"/>
      <c r="J72" s="10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x14ac:dyDescent="0.25">
      <c r="A73" s="3"/>
      <c r="B73" s="104"/>
      <c r="C73" s="104"/>
      <c r="D73" s="104"/>
      <c r="E73" s="104"/>
      <c r="F73" s="104"/>
      <c r="G73" s="104"/>
      <c r="H73" s="104"/>
      <c r="I73" s="104"/>
      <c r="J73" s="10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x14ac:dyDescent="0.25">
      <c r="A74" s="3"/>
      <c r="B74" s="104"/>
      <c r="C74" s="104"/>
      <c r="D74" s="104"/>
      <c r="E74" s="104"/>
      <c r="F74" s="104"/>
      <c r="G74" s="104"/>
      <c r="H74" s="104"/>
      <c r="I74" s="104"/>
      <c r="J74" s="10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x14ac:dyDescent="0.25">
      <c r="A75" s="3"/>
      <c r="B75" s="104"/>
      <c r="C75" s="104"/>
      <c r="D75" s="104"/>
      <c r="E75" s="104"/>
      <c r="F75" s="104"/>
      <c r="G75" s="104"/>
      <c r="H75" s="104"/>
      <c r="I75" s="104"/>
      <c r="J75" s="10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x14ac:dyDescent="0.25">
      <c r="A76" s="3"/>
      <c r="B76" s="104"/>
      <c r="C76" s="104"/>
      <c r="D76" s="104"/>
      <c r="E76" s="104"/>
      <c r="F76" s="104"/>
      <c r="G76" s="104"/>
      <c r="H76" s="104"/>
      <c r="I76" s="104"/>
      <c r="J76" s="10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x14ac:dyDescent="0.25">
      <c r="A77" s="3"/>
      <c r="B77" s="104"/>
      <c r="C77" s="104"/>
      <c r="D77" s="104"/>
      <c r="E77" s="104"/>
      <c r="F77" s="104"/>
      <c r="G77" s="104"/>
      <c r="H77" s="104"/>
      <c r="I77" s="104"/>
      <c r="J77" s="10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x14ac:dyDescent="0.25">
      <c r="A78" s="3"/>
      <c r="B78" s="104"/>
      <c r="C78" s="104"/>
      <c r="D78" s="104"/>
      <c r="E78" s="104"/>
      <c r="F78" s="104"/>
      <c r="G78" s="104"/>
      <c r="H78" s="104"/>
      <c r="I78" s="104"/>
      <c r="J78" s="10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x14ac:dyDescent="0.25">
      <c r="A79" s="3"/>
      <c r="B79" s="104"/>
      <c r="C79" s="104"/>
      <c r="D79" s="104"/>
      <c r="E79" s="104"/>
      <c r="F79" s="104"/>
      <c r="G79" s="104"/>
      <c r="H79" s="104"/>
      <c r="I79" s="104"/>
      <c r="J79" s="10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x14ac:dyDescent="0.25">
      <c r="A80" s="3"/>
      <c r="B80" s="104"/>
      <c r="C80" s="104"/>
      <c r="D80" s="104"/>
      <c r="E80" s="104"/>
      <c r="F80" s="104"/>
      <c r="G80" s="104"/>
      <c r="H80" s="104"/>
      <c r="I80" s="104"/>
      <c r="J80" s="10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x14ac:dyDescent="0.25">
      <c r="A81" s="3"/>
      <c r="B81" s="104"/>
      <c r="C81" s="104"/>
      <c r="D81" s="104"/>
      <c r="E81" s="104"/>
      <c r="F81" s="104"/>
      <c r="G81" s="104"/>
      <c r="H81" s="104"/>
      <c r="I81" s="104"/>
      <c r="J81" s="10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x14ac:dyDescent="0.25">
      <c r="A82" s="3"/>
      <c r="B82" s="104"/>
      <c r="C82" s="104"/>
      <c r="D82" s="104"/>
      <c r="E82" s="104"/>
      <c r="F82" s="104"/>
      <c r="G82" s="104"/>
      <c r="H82" s="104"/>
      <c r="I82" s="104"/>
      <c r="J82" s="10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x14ac:dyDescent="0.25">
      <c r="A83" s="3"/>
      <c r="B83" s="104"/>
      <c r="C83" s="104"/>
      <c r="D83" s="104"/>
      <c r="E83" s="104"/>
      <c r="F83" s="104"/>
      <c r="G83" s="104"/>
      <c r="H83" s="104"/>
      <c r="I83" s="104"/>
      <c r="J83" s="10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x14ac:dyDescent="0.25">
      <c r="A84" s="3"/>
      <c r="B84" s="104"/>
      <c r="C84" s="104"/>
      <c r="D84" s="104"/>
      <c r="E84" s="104"/>
      <c r="F84" s="104"/>
      <c r="G84" s="104"/>
      <c r="H84" s="104"/>
      <c r="I84" s="104"/>
      <c r="J84" s="10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x14ac:dyDescent="0.25">
      <c r="A85" s="3"/>
      <c r="B85" s="104"/>
      <c r="C85" s="104"/>
      <c r="D85" s="104"/>
      <c r="E85" s="104"/>
      <c r="F85" s="104"/>
      <c r="G85" s="104"/>
      <c r="H85" s="104"/>
      <c r="I85" s="104"/>
      <c r="J85" s="10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x14ac:dyDescent="0.25">
      <c r="A86" s="3"/>
      <c r="B86" s="104"/>
      <c r="C86" s="104"/>
      <c r="D86" s="104"/>
      <c r="E86" s="104"/>
      <c r="F86" s="104"/>
      <c r="G86" s="104"/>
      <c r="H86" s="104"/>
      <c r="I86" s="104"/>
      <c r="J86" s="10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spans="1:41" x14ac:dyDescent="0.25">
      <c r="A87" s="3"/>
      <c r="B87" s="104"/>
      <c r="C87" s="104"/>
      <c r="D87" s="104"/>
      <c r="E87" s="104"/>
      <c r="F87" s="104"/>
      <c r="G87" s="104"/>
      <c r="H87" s="104"/>
      <c r="I87" s="104"/>
      <c r="J87" s="10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spans="1:41" x14ac:dyDescent="0.25">
      <c r="A88" s="3"/>
      <c r="B88" s="104"/>
      <c r="C88" s="104"/>
      <c r="D88" s="104"/>
      <c r="E88" s="104"/>
      <c r="F88" s="104"/>
      <c r="G88" s="104"/>
      <c r="H88" s="104"/>
      <c r="I88" s="104"/>
      <c r="J88" s="10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x14ac:dyDescent="0.25">
      <c r="A89" s="3"/>
      <c r="B89" s="104"/>
      <c r="C89" s="104"/>
      <c r="D89" s="104"/>
      <c r="E89" s="104"/>
      <c r="F89" s="104"/>
      <c r="G89" s="104"/>
      <c r="H89" s="104"/>
      <c r="I89" s="104"/>
      <c r="J89" s="10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spans="1:41" x14ac:dyDescent="0.25">
      <c r="A90" s="3"/>
      <c r="B90" s="104"/>
      <c r="C90" s="104"/>
      <c r="D90" s="104"/>
      <c r="E90" s="104"/>
      <c r="F90" s="104"/>
      <c r="G90" s="104"/>
      <c r="H90" s="104"/>
      <c r="I90" s="104"/>
      <c r="J90" s="10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1" x14ac:dyDescent="0.25">
      <c r="A91" s="3"/>
      <c r="B91" s="104"/>
      <c r="C91" s="104"/>
      <c r="D91" s="104"/>
      <c r="E91" s="104"/>
      <c r="F91" s="104"/>
      <c r="G91" s="104"/>
      <c r="H91" s="104"/>
      <c r="I91" s="104"/>
      <c r="J91" s="10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1" x14ac:dyDescent="0.25">
      <c r="A92" s="3"/>
      <c r="B92" s="104"/>
      <c r="C92" s="104"/>
      <c r="D92" s="104"/>
      <c r="E92" s="104"/>
      <c r="F92" s="104"/>
      <c r="G92" s="104"/>
      <c r="H92" s="104"/>
      <c r="I92" s="104"/>
      <c r="J92" s="10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1" x14ac:dyDescent="0.25">
      <c r="A93" s="3"/>
      <c r="B93" s="104"/>
      <c r="C93" s="104"/>
      <c r="D93" s="104"/>
      <c r="E93" s="104"/>
      <c r="F93" s="104"/>
      <c r="G93" s="104"/>
      <c r="H93" s="104"/>
      <c r="I93" s="104"/>
      <c r="J93" s="10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spans="1:41" x14ac:dyDescent="0.25">
      <c r="A94" s="3"/>
      <c r="B94" s="104"/>
      <c r="C94" s="104"/>
      <c r="D94" s="104"/>
      <c r="E94" s="104"/>
      <c r="F94" s="104"/>
      <c r="G94" s="104"/>
      <c r="H94" s="104"/>
      <c r="I94" s="104"/>
      <c r="J94" s="10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41" x14ac:dyDescent="0.25">
      <c r="A95" s="3"/>
      <c r="B95" s="104"/>
      <c r="C95" s="104"/>
      <c r="D95" s="104"/>
      <c r="E95" s="104"/>
      <c r="F95" s="104"/>
      <c r="G95" s="104"/>
      <c r="H95" s="104"/>
      <c r="I95" s="104"/>
      <c r="J95" s="10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spans="1:41" x14ac:dyDescent="0.25">
      <c r="A96" s="3"/>
      <c r="B96" s="104"/>
      <c r="C96" s="104"/>
      <c r="D96" s="104"/>
      <c r="E96" s="104"/>
      <c r="F96" s="104"/>
      <c r="G96" s="104"/>
      <c r="H96" s="104"/>
      <c r="I96" s="104"/>
      <c r="J96" s="10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spans="1:41" x14ac:dyDescent="0.25">
      <c r="A97" s="3"/>
      <c r="B97" s="104"/>
      <c r="C97" s="104"/>
      <c r="D97" s="104"/>
      <c r="E97" s="104"/>
      <c r="F97" s="104"/>
      <c r="G97" s="104"/>
      <c r="H97" s="104"/>
      <c r="I97" s="104"/>
      <c r="J97" s="10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spans="1:41" x14ac:dyDescent="0.25">
      <c r="A98" s="3"/>
      <c r="B98" s="104"/>
      <c r="C98" s="104"/>
      <c r="D98" s="104"/>
      <c r="E98" s="104"/>
      <c r="F98" s="104"/>
      <c r="G98" s="104"/>
      <c r="H98" s="104"/>
      <c r="I98" s="104"/>
      <c r="J98" s="10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spans="1:41" x14ac:dyDescent="0.25">
      <c r="A99" s="3"/>
      <c r="B99" s="104"/>
      <c r="C99" s="104"/>
      <c r="D99" s="104"/>
      <c r="E99" s="104"/>
      <c r="F99" s="104"/>
      <c r="G99" s="104"/>
      <c r="H99" s="104"/>
      <c r="I99" s="104"/>
      <c r="J99" s="10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1" x14ac:dyDescent="0.25">
      <c r="A100" s="3"/>
      <c r="B100" s="104"/>
      <c r="C100" s="104"/>
      <c r="D100" s="104"/>
      <c r="E100" s="104"/>
      <c r="F100" s="104"/>
      <c r="G100" s="104"/>
      <c r="H100" s="104"/>
      <c r="I100" s="104"/>
      <c r="J100" s="10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spans="1:41" x14ac:dyDescent="0.25">
      <c r="A101" s="3"/>
      <c r="B101" s="104"/>
      <c r="C101" s="104"/>
      <c r="D101" s="104"/>
      <c r="E101" s="104"/>
      <c r="F101" s="104"/>
      <c r="G101" s="104"/>
      <c r="H101" s="104"/>
      <c r="I101" s="104"/>
      <c r="J101" s="10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1:41" x14ac:dyDescent="0.25">
      <c r="A102" s="3"/>
      <c r="B102" s="104"/>
      <c r="C102" s="104"/>
      <c r="D102" s="104"/>
      <c r="E102" s="104"/>
      <c r="F102" s="104"/>
      <c r="G102" s="104"/>
      <c r="H102" s="104"/>
      <c r="I102" s="104"/>
      <c r="J102" s="10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41" x14ac:dyDescent="0.25">
      <c r="A103" s="3"/>
      <c r="B103" s="104"/>
      <c r="C103" s="104"/>
      <c r="D103" s="104"/>
      <c r="E103" s="104"/>
      <c r="F103" s="104"/>
      <c r="G103" s="104"/>
      <c r="H103" s="104"/>
      <c r="I103" s="104"/>
      <c r="J103" s="10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1:41" x14ac:dyDescent="0.25">
      <c r="A104" s="3"/>
      <c r="B104" s="104"/>
      <c r="C104" s="104"/>
      <c r="D104" s="104"/>
      <c r="E104" s="104"/>
      <c r="F104" s="104"/>
      <c r="G104" s="104"/>
      <c r="H104" s="104"/>
      <c r="I104" s="104"/>
      <c r="J104" s="10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1:41" x14ac:dyDescent="0.25">
      <c r="A105" s="3"/>
      <c r="B105" s="104"/>
      <c r="C105" s="104"/>
      <c r="D105" s="104"/>
      <c r="E105" s="104"/>
      <c r="F105" s="104"/>
      <c r="G105" s="104"/>
      <c r="H105" s="104"/>
      <c r="I105" s="104"/>
      <c r="J105" s="10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spans="1:41" x14ac:dyDescent="0.25">
      <c r="A106" s="3"/>
      <c r="B106" s="104"/>
      <c r="C106" s="104"/>
      <c r="D106" s="104"/>
      <c r="E106" s="104"/>
      <c r="F106" s="104"/>
      <c r="G106" s="104"/>
      <c r="H106" s="104"/>
      <c r="I106" s="104"/>
      <c r="J106" s="10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1:41" x14ac:dyDescent="0.25">
      <c r="A107" s="3"/>
      <c r="B107" s="104"/>
      <c r="C107" s="104"/>
      <c r="D107" s="104"/>
      <c r="E107" s="104"/>
      <c r="F107" s="104"/>
      <c r="G107" s="104"/>
      <c r="H107" s="104"/>
      <c r="I107" s="104"/>
      <c r="J107" s="10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1:41" x14ac:dyDescent="0.25">
      <c r="A108" s="3"/>
      <c r="B108" s="104"/>
      <c r="C108" s="104"/>
      <c r="D108" s="104"/>
      <c r="E108" s="104"/>
      <c r="F108" s="104"/>
      <c r="G108" s="104"/>
      <c r="H108" s="104"/>
      <c r="I108" s="104"/>
      <c r="J108" s="10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spans="1:41" x14ac:dyDescent="0.25">
      <c r="A109" s="3"/>
      <c r="B109" s="104"/>
      <c r="C109" s="104"/>
      <c r="D109" s="104"/>
      <c r="E109" s="104"/>
      <c r="F109" s="104"/>
      <c r="G109" s="104"/>
      <c r="H109" s="104"/>
      <c r="I109" s="104"/>
      <c r="J109" s="10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x14ac:dyDescent="0.25">
      <c r="A110" s="3"/>
      <c r="B110" s="104"/>
      <c r="C110" s="104"/>
      <c r="D110" s="104"/>
      <c r="E110" s="104"/>
      <c r="F110" s="104"/>
      <c r="G110" s="104"/>
      <c r="H110" s="104"/>
      <c r="I110" s="104"/>
      <c r="J110" s="10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41" x14ac:dyDescent="0.25">
      <c r="A111" s="3"/>
      <c r="B111" s="104"/>
      <c r="C111" s="104"/>
      <c r="D111" s="104"/>
      <c r="E111" s="104"/>
      <c r="F111" s="104"/>
      <c r="G111" s="104"/>
      <c r="H111" s="104"/>
      <c r="I111" s="104"/>
      <c r="J111" s="10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41" x14ac:dyDescent="0.25">
      <c r="A112" s="3"/>
      <c r="B112" s="104"/>
      <c r="C112" s="104"/>
      <c r="D112" s="104"/>
      <c r="E112" s="104"/>
      <c r="F112" s="104"/>
      <c r="G112" s="104"/>
      <c r="H112" s="104"/>
      <c r="I112" s="104"/>
      <c r="J112" s="10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41" x14ac:dyDescent="0.25">
      <c r="A113" s="3"/>
      <c r="B113" s="104"/>
      <c r="C113" s="104"/>
      <c r="D113" s="104"/>
      <c r="E113" s="104"/>
      <c r="F113" s="104"/>
      <c r="G113" s="104"/>
      <c r="H113" s="104"/>
      <c r="I113" s="104"/>
      <c r="J113" s="10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1:41" x14ac:dyDescent="0.25">
      <c r="A114" s="3"/>
      <c r="B114" s="104"/>
      <c r="C114" s="104"/>
      <c r="D114" s="104"/>
      <c r="E114" s="104"/>
      <c r="F114" s="104"/>
      <c r="G114" s="104"/>
      <c r="H114" s="104"/>
      <c r="I114" s="104"/>
      <c r="J114" s="10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1:41" x14ac:dyDescent="0.25">
      <c r="A115" s="3"/>
      <c r="B115" s="104"/>
      <c r="C115" s="104"/>
      <c r="D115" s="104"/>
      <c r="E115" s="104"/>
      <c r="F115" s="104"/>
      <c r="G115" s="104"/>
      <c r="H115" s="104"/>
      <c r="I115" s="104"/>
      <c r="J115" s="10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1:41" x14ac:dyDescent="0.25">
      <c r="A116" s="3"/>
      <c r="B116" s="104"/>
      <c r="C116" s="104"/>
      <c r="D116" s="104"/>
      <c r="E116" s="104"/>
      <c r="F116" s="104"/>
      <c r="G116" s="104"/>
      <c r="H116" s="104"/>
      <c r="I116" s="104"/>
      <c r="J116" s="10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1:41" x14ac:dyDescent="0.25">
      <c r="A117" s="3"/>
      <c r="B117" s="104"/>
      <c r="C117" s="104"/>
      <c r="D117" s="104"/>
      <c r="E117" s="104"/>
      <c r="F117" s="104"/>
      <c r="G117" s="104"/>
      <c r="H117" s="104"/>
      <c r="I117" s="104"/>
      <c r="J117" s="10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1:41" x14ac:dyDescent="0.25">
      <c r="A118" s="3"/>
      <c r="B118" s="104"/>
      <c r="C118" s="104"/>
      <c r="D118" s="104"/>
      <c r="E118" s="104"/>
      <c r="F118" s="104"/>
      <c r="G118" s="104"/>
      <c r="H118" s="104"/>
      <c r="I118" s="104"/>
      <c r="J118" s="10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1:41" x14ac:dyDescent="0.25">
      <c r="A119" s="3"/>
      <c r="B119" s="104"/>
      <c r="C119" s="104"/>
      <c r="D119" s="104"/>
      <c r="E119" s="104"/>
      <c r="F119" s="104"/>
      <c r="G119" s="104"/>
      <c r="H119" s="104"/>
      <c r="I119" s="104"/>
      <c r="J119" s="10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1:41" x14ac:dyDescent="0.25">
      <c r="A120" s="3"/>
      <c r="B120" s="104"/>
      <c r="C120" s="104"/>
      <c r="D120" s="104"/>
      <c r="E120" s="104"/>
      <c r="F120" s="104"/>
      <c r="G120" s="104"/>
      <c r="H120" s="104"/>
      <c r="I120" s="104"/>
      <c r="J120" s="10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1:41" x14ac:dyDescent="0.25">
      <c r="A121" s="3"/>
      <c r="B121" s="104"/>
      <c r="C121" s="104"/>
      <c r="D121" s="104"/>
      <c r="E121" s="104"/>
      <c r="F121" s="104"/>
      <c r="G121" s="104"/>
      <c r="H121" s="104"/>
      <c r="I121" s="104"/>
      <c r="J121" s="10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1:41" x14ac:dyDescent="0.25">
      <c r="A122" s="3"/>
      <c r="B122" s="104"/>
      <c r="C122" s="104"/>
      <c r="D122" s="104"/>
      <c r="E122" s="104"/>
      <c r="F122" s="104"/>
      <c r="G122" s="104"/>
      <c r="H122" s="104"/>
      <c r="I122" s="104"/>
      <c r="J122" s="10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x14ac:dyDescent="0.25">
      <c r="A123" s="3"/>
      <c r="B123" s="104"/>
      <c r="C123" s="104"/>
      <c r="D123" s="104"/>
      <c r="E123" s="104"/>
      <c r="F123" s="104"/>
      <c r="G123" s="104"/>
      <c r="H123" s="104"/>
      <c r="I123" s="104"/>
      <c r="J123" s="10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1:41" x14ac:dyDescent="0.25">
      <c r="A124" s="3"/>
      <c r="B124" s="104"/>
      <c r="C124" s="104"/>
      <c r="D124" s="104"/>
      <c r="E124" s="104"/>
      <c r="F124" s="104"/>
      <c r="G124" s="104"/>
      <c r="H124" s="104"/>
      <c r="I124" s="104"/>
      <c r="J124" s="10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1:41" x14ac:dyDescent="0.25">
      <c r="A125" s="3"/>
      <c r="B125" s="104"/>
      <c r="C125" s="104"/>
      <c r="D125" s="104"/>
      <c r="E125" s="104"/>
      <c r="F125" s="104"/>
      <c r="G125" s="104"/>
      <c r="H125" s="104"/>
      <c r="I125" s="104"/>
      <c r="J125" s="10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1:41" x14ac:dyDescent="0.25">
      <c r="A126" s="3"/>
      <c r="B126" s="104"/>
      <c r="C126" s="104"/>
      <c r="D126" s="104"/>
      <c r="E126" s="104"/>
      <c r="F126" s="104"/>
      <c r="G126" s="104"/>
      <c r="H126" s="104"/>
      <c r="I126" s="104"/>
      <c r="J126" s="10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1:41" x14ac:dyDescent="0.25">
      <c r="A127" s="3"/>
      <c r="B127" s="104"/>
      <c r="C127" s="104"/>
      <c r="D127" s="104"/>
      <c r="E127" s="104"/>
      <c r="F127" s="104"/>
      <c r="G127" s="104"/>
      <c r="H127" s="104"/>
      <c r="I127" s="104"/>
      <c r="J127" s="10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1:41" x14ac:dyDescent="0.25">
      <c r="A128" s="3"/>
      <c r="B128" s="104"/>
      <c r="C128" s="104"/>
      <c r="D128" s="104"/>
      <c r="E128" s="104"/>
      <c r="F128" s="104"/>
      <c r="G128" s="104"/>
      <c r="H128" s="104"/>
      <c r="I128" s="104"/>
      <c r="J128" s="10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1:41" x14ac:dyDescent="0.25">
      <c r="A129" s="3"/>
      <c r="B129" s="104"/>
      <c r="C129" s="104"/>
      <c r="D129" s="104"/>
      <c r="E129" s="104"/>
      <c r="F129" s="104"/>
      <c r="G129" s="104"/>
      <c r="H129" s="104"/>
      <c r="I129" s="104"/>
      <c r="J129" s="10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1:41" x14ac:dyDescent="0.25">
      <c r="A130" s="3"/>
      <c r="B130" s="104"/>
      <c r="C130" s="104"/>
      <c r="D130" s="104"/>
      <c r="E130" s="104"/>
      <c r="F130" s="104"/>
      <c r="G130" s="104"/>
      <c r="H130" s="104"/>
      <c r="I130" s="104"/>
      <c r="J130" s="10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1:41" x14ac:dyDescent="0.25">
      <c r="A131" s="3"/>
      <c r="B131" s="104"/>
      <c r="C131" s="104"/>
      <c r="D131" s="104"/>
      <c r="E131" s="104"/>
      <c r="F131" s="104"/>
      <c r="G131" s="104"/>
      <c r="H131" s="104"/>
      <c r="I131" s="104"/>
      <c r="J131" s="10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1:41" x14ac:dyDescent="0.25">
      <c r="A132" s="3"/>
      <c r="B132" s="104"/>
      <c r="C132" s="104"/>
      <c r="D132" s="104"/>
      <c r="E132" s="104"/>
      <c r="F132" s="104"/>
      <c r="G132" s="104"/>
      <c r="H132" s="104"/>
      <c r="I132" s="104"/>
      <c r="J132" s="10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1:41" x14ac:dyDescent="0.25">
      <c r="A133" s="3"/>
      <c r="B133" s="104"/>
      <c r="C133" s="104"/>
      <c r="D133" s="104"/>
      <c r="E133" s="104"/>
      <c r="F133" s="104"/>
      <c r="G133" s="104"/>
      <c r="H133" s="104"/>
      <c r="I133" s="104"/>
      <c r="J133" s="10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x14ac:dyDescent="0.25">
      <c r="A134" s="3"/>
      <c r="B134" s="104"/>
      <c r="C134" s="104"/>
      <c r="D134" s="104"/>
      <c r="E134" s="104"/>
      <c r="F134" s="104"/>
      <c r="G134" s="104"/>
      <c r="H134" s="104"/>
      <c r="I134" s="104"/>
      <c r="J134" s="10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1:41" x14ac:dyDescent="0.25">
      <c r="A135" s="3"/>
      <c r="B135" s="104"/>
      <c r="C135" s="104"/>
      <c r="D135" s="104"/>
      <c r="E135" s="104"/>
      <c r="F135" s="104"/>
      <c r="G135" s="104"/>
      <c r="H135" s="104"/>
      <c r="I135" s="104"/>
      <c r="J135" s="10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1:41" x14ac:dyDescent="0.25">
      <c r="A136" s="3"/>
      <c r="B136" s="104"/>
      <c r="C136" s="104"/>
      <c r="D136" s="104"/>
      <c r="E136" s="104"/>
      <c r="F136" s="104"/>
      <c r="G136" s="104"/>
      <c r="H136" s="104"/>
      <c r="I136" s="104"/>
      <c r="J136" s="10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x14ac:dyDescent="0.25">
      <c r="A137" s="3"/>
      <c r="B137" s="104"/>
      <c r="C137" s="104"/>
      <c r="D137" s="104"/>
      <c r="E137" s="104"/>
      <c r="F137" s="104"/>
      <c r="G137" s="104"/>
      <c r="H137" s="104"/>
      <c r="I137" s="104"/>
      <c r="J137" s="10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1:41" x14ac:dyDescent="0.25">
      <c r="A138" s="3"/>
      <c r="B138" s="104"/>
      <c r="C138" s="104"/>
      <c r="D138" s="104"/>
      <c r="E138" s="104"/>
      <c r="F138" s="104"/>
      <c r="G138" s="104"/>
      <c r="H138" s="104"/>
      <c r="I138" s="104"/>
      <c r="J138" s="10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x14ac:dyDescent="0.25">
      <c r="A139" s="3"/>
      <c r="B139" s="104"/>
      <c r="C139" s="104"/>
      <c r="D139" s="104"/>
      <c r="E139" s="104"/>
      <c r="F139" s="104"/>
      <c r="G139" s="104"/>
      <c r="H139" s="104"/>
      <c r="I139" s="104"/>
      <c r="J139" s="10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1:41" x14ac:dyDescent="0.25">
      <c r="A140" s="3"/>
      <c r="B140" s="104"/>
      <c r="C140" s="104"/>
      <c r="D140" s="104"/>
      <c r="E140" s="104"/>
      <c r="F140" s="104"/>
      <c r="G140" s="104"/>
      <c r="H140" s="104"/>
      <c r="I140" s="104"/>
      <c r="J140" s="10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1:41" x14ac:dyDescent="0.25">
      <c r="A141" s="3"/>
      <c r="B141" s="104"/>
      <c r="C141" s="104"/>
      <c r="D141" s="104"/>
      <c r="E141" s="104"/>
      <c r="F141" s="104"/>
      <c r="G141" s="104"/>
      <c r="H141" s="104"/>
      <c r="I141" s="104"/>
      <c r="J141" s="10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1:41" x14ac:dyDescent="0.25">
      <c r="A142" s="3"/>
      <c r="B142" s="104"/>
      <c r="C142" s="104"/>
      <c r="D142" s="104"/>
      <c r="E142" s="104"/>
      <c r="F142" s="104"/>
      <c r="G142" s="104"/>
      <c r="H142" s="104"/>
      <c r="I142" s="104"/>
      <c r="J142" s="10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1:41" x14ac:dyDescent="0.25">
      <c r="A143" s="3"/>
      <c r="B143" s="104"/>
      <c r="C143" s="104"/>
      <c r="D143" s="104"/>
      <c r="E143" s="104"/>
      <c r="F143" s="104"/>
      <c r="G143" s="104"/>
      <c r="H143" s="104"/>
      <c r="I143" s="104"/>
      <c r="J143" s="10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1:41" x14ac:dyDescent="0.25">
      <c r="A144" s="3"/>
      <c r="B144" s="104"/>
      <c r="C144" s="104"/>
      <c r="D144" s="104"/>
      <c r="E144" s="104"/>
      <c r="F144" s="104"/>
      <c r="G144" s="104"/>
      <c r="H144" s="104"/>
      <c r="I144" s="104"/>
      <c r="J144" s="10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1:41" x14ac:dyDescent="0.25">
      <c r="A145" s="3"/>
      <c r="B145" s="104"/>
      <c r="C145" s="104"/>
      <c r="D145" s="104"/>
      <c r="E145" s="104"/>
      <c r="F145" s="104"/>
      <c r="G145" s="104"/>
      <c r="H145" s="104"/>
      <c r="I145" s="104"/>
      <c r="J145" s="10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1:41" x14ac:dyDescent="0.25">
      <c r="A146" s="3"/>
      <c r="B146" s="104"/>
      <c r="C146" s="104"/>
      <c r="D146" s="104"/>
      <c r="E146" s="104"/>
      <c r="F146" s="104"/>
      <c r="G146" s="104"/>
      <c r="H146" s="104"/>
      <c r="I146" s="104"/>
      <c r="J146" s="10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1:41" x14ac:dyDescent="0.25">
      <c r="A147" s="3"/>
      <c r="B147" s="104"/>
      <c r="C147" s="104"/>
      <c r="D147" s="104"/>
      <c r="E147" s="104"/>
      <c r="F147" s="104"/>
      <c r="G147" s="104"/>
      <c r="H147" s="104"/>
      <c r="I147" s="104"/>
      <c r="J147" s="10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1:41" x14ac:dyDescent="0.25">
      <c r="A148" s="3"/>
      <c r="B148" s="104"/>
      <c r="C148" s="104"/>
      <c r="D148" s="104"/>
      <c r="E148" s="104"/>
      <c r="F148" s="104"/>
      <c r="G148" s="104"/>
      <c r="H148" s="104"/>
      <c r="I148" s="104"/>
      <c r="J148" s="10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1:41" x14ac:dyDescent="0.25">
      <c r="A149" s="3"/>
      <c r="B149" s="104"/>
      <c r="C149" s="104"/>
      <c r="D149" s="104"/>
      <c r="E149" s="104"/>
      <c r="F149" s="104"/>
      <c r="G149" s="104"/>
      <c r="H149" s="104"/>
      <c r="I149" s="104"/>
      <c r="J149" s="10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1:41" x14ac:dyDescent="0.25">
      <c r="A150" s="3"/>
      <c r="B150" s="104"/>
      <c r="C150" s="104"/>
      <c r="D150" s="104"/>
      <c r="E150" s="104"/>
      <c r="F150" s="104"/>
      <c r="G150" s="104"/>
      <c r="H150" s="104"/>
      <c r="I150" s="104"/>
      <c r="J150" s="10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1:41" x14ac:dyDescent="0.25">
      <c r="A151" s="3"/>
      <c r="B151" s="104"/>
      <c r="C151" s="104"/>
      <c r="D151" s="104"/>
      <c r="E151" s="104"/>
      <c r="F151" s="104"/>
      <c r="G151" s="104"/>
      <c r="H151" s="104"/>
      <c r="I151" s="104"/>
      <c r="J151" s="10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1:41" x14ac:dyDescent="0.25">
      <c r="A152" s="3"/>
      <c r="B152" s="104"/>
      <c r="C152" s="104"/>
      <c r="D152" s="104"/>
      <c r="E152" s="104"/>
      <c r="F152" s="104"/>
      <c r="G152" s="104"/>
      <c r="H152" s="104"/>
      <c r="I152" s="104"/>
      <c r="J152" s="10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1:41" x14ac:dyDescent="0.25">
      <c r="A153" s="3"/>
      <c r="B153" s="104"/>
      <c r="C153" s="104"/>
      <c r="D153" s="104"/>
      <c r="E153" s="104"/>
      <c r="F153" s="104"/>
      <c r="G153" s="104"/>
      <c r="H153" s="104"/>
      <c r="I153" s="104"/>
      <c r="J153" s="10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1:41" x14ac:dyDescent="0.25">
      <c r="A154" s="3"/>
      <c r="B154" s="104"/>
      <c r="C154" s="104"/>
      <c r="D154" s="104"/>
      <c r="E154" s="104"/>
      <c r="F154" s="104"/>
      <c r="G154" s="104"/>
      <c r="H154" s="104"/>
      <c r="I154" s="104"/>
      <c r="J154" s="10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1:41" x14ac:dyDescent="0.25">
      <c r="A155" s="3"/>
      <c r="B155" s="104"/>
      <c r="C155" s="104"/>
      <c r="D155" s="104"/>
      <c r="E155" s="104"/>
      <c r="F155" s="104"/>
      <c r="G155" s="104"/>
      <c r="H155" s="104"/>
      <c r="I155" s="104"/>
      <c r="J155" s="10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1:41" x14ac:dyDescent="0.25">
      <c r="A156" s="3"/>
      <c r="B156" s="104"/>
      <c r="C156" s="104"/>
      <c r="D156" s="104"/>
      <c r="E156" s="104"/>
      <c r="F156" s="104"/>
      <c r="G156" s="104"/>
      <c r="H156" s="104"/>
      <c r="I156" s="104"/>
      <c r="J156" s="10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1:41" x14ac:dyDescent="0.25">
      <c r="A157" s="3"/>
      <c r="B157" s="104"/>
      <c r="C157" s="104"/>
      <c r="D157" s="104"/>
      <c r="E157" s="104"/>
      <c r="F157" s="104"/>
      <c r="G157" s="104"/>
      <c r="H157" s="104"/>
      <c r="I157" s="104"/>
      <c r="J157" s="10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1:41" x14ac:dyDescent="0.25">
      <c r="A158" s="3"/>
      <c r="B158" s="104"/>
      <c r="C158" s="104"/>
      <c r="D158" s="104"/>
      <c r="E158" s="104"/>
      <c r="F158" s="104"/>
      <c r="G158" s="104"/>
      <c r="H158" s="104"/>
      <c r="I158" s="104"/>
      <c r="J158" s="10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1:41" x14ac:dyDescent="0.25">
      <c r="A159" s="3"/>
      <c r="B159" s="104"/>
      <c r="C159" s="104"/>
      <c r="D159" s="104"/>
      <c r="E159" s="104"/>
      <c r="F159" s="104"/>
      <c r="G159" s="104"/>
      <c r="H159" s="104"/>
      <c r="I159" s="104"/>
      <c r="J159" s="10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1:41" x14ac:dyDescent="0.25">
      <c r="A160" s="3"/>
      <c r="B160" s="104"/>
      <c r="C160" s="104"/>
      <c r="D160" s="104"/>
      <c r="E160" s="104"/>
      <c r="F160" s="104"/>
      <c r="G160" s="104"/>
      <c r="H160" s="104"/>
      <c r="I160" s="104"/>
      <c r="J160" s="10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x14ac:dyDescent="0.25">
      <c r="A161" s="3"/>
      <c r="B161" s="104"/>
      <c r="C161" s="104"/>
      <c r="D161" s="104"/>
      <c r="E161" s="104"/>
      <c r="F161" s="104"/>
      <c r="G161" s="104"/>
      <c r="H161" s="104"/>
      <c r="I161" s="104"/>
      <c r="J161" s="10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x14ac:dyDescent="0.25">
      <c r="A162" s="3"/>
      <c r="B162" s="104"/>
      <c r="C162" s="104"/>
      <c r="D162" s="104"/>
      <c r="E162" s="104"/>
      <c r="F162" s="104"/>
      <c r="G162" s="104"/>
      <c r="H162" s="104"/>
      <c r="I162" s="104"/>
      <c r="J162" s="10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x14ac:dyDescent="0.25">
      <c r="A163" s="3"/>
      <c r="B163" s="104"/>
      <c r="C163" s="104"/>
      <c r="D163" s="104"/>
      <c r="E163" s="104"/>
      <c r="F163" s="104"/>
      <c r="G163" s="104"/>
      <c r="H163" s="104"/>
      <c r="I163" s="104"/>
      <c r="J163" s="10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x14ac:dyDescent="0.25">
      <c r="A164" s="3"/>
      <c r="B164" s="104"/>
      <c r="C164" s="104"/>
      <c r="D164" s="104"/>
      <c r="E164" s="104"/>
      <c r="F164" s="104"/>
      <c r="G164" s="104"/>
      <c r="H164" s="104"/>
      <c r="I164" s="104"/>
      <c r="J164" s="10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x14ac:dyDescent="0.25">
      <c r="A165" s="3"/>
      <c r="F165" s="104"/>
      <c r="G165" s="104"/>
      <c r="H165" s="104"/>
      <c r="I165" s="104"/>
      <c r="J165" s="10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x14ac:dyDescent="0.25">
      <c r="F166" s="104"/>
      <c r="G166" s="104"/>
      <c r="H166" s="104"/>
      <c r="I166" s="104"/>
      <c r="J166" s="104"/>
    </row>
    <row r="167" spans="1:41" x14ac:dyDescent="0.25">
      <c r="F167" s="104"/>
    </row>
    <row r="168" spans="1:41" x14ac:dyDescent="0.25">
      <c r="F168" s="104"/>
    </row>
  </sheetData>
  <protectedRanges>
    <protectedRange password="DAA3" sqref="B10:C12" name="Περιοχή1"/>
  </protectedRanges>
  <mergeCells count="19">
    <mergeCell ref="B2:J2"/>
    <mergeCell ref="B3:E3"/>
    <mergeCell ref="B4:C4"/>
    <mergeCell ref="B11:C11"/>
    <mergeCell ref="B9:C9"/>
    <mergeCell ref="B8:C8"/>
    <mergeCell ref="B7:C7"/>
    <mergeCell ref="B6:C6"/>
    <mergeCell ref="B5:C5"/>
    <mergeCell ref="B10:C10"/>
    <mergeCell ref="B12:C12"/>
    <mergeCell ref="B22:B29"/>
    <mergeCell ref="F3:H3"/>
    <mergeCell ref="I3:J3"/>
    <mergeCell ref="B21:E21"/>
    <mergeCell ref="G21:I21"/>
    <mergeCell ref="G14:J14"/>
    <mergeCell ref="B14:F14"/>
    <mergeCell ref="B13:C1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2">
    <tabColor theme="6"/>
  </sheetPr>
  <dimension ref="A1:AS202"/>
  <sheetViews>
    <sheetView zoomScale="94" zoomScaleNormal="94" workbookViewId="0">
      <selection activeCell="G17" sqref="G17"/>
    </sheetView>
  </sheetViews>
  <sheetFormatPr defaultRowHeight="15" x14ac:dyDescent="0.25"/>
  <cols>
    <col min="1" max="1" width="30.42578125" style="26" customWidth="1"/>
    <col min="2" max="2" width="4.85546875" style="26" bestFit="1" customWidth="1"/>
    <col min="3" max="3" width="35.85546875" style="157" customWidth="1"/>
    <col min="4" max="4" width="7" style="26" bestFit="1" customWidth="1"/>
    <col min="5" max="5" width="7.85546875" style="26" bestFit="1" customWidth="1"/>
    <col min="6" max="6" width="0.85546875" style="51" customWidth="1"/>
    <col min="7" max="7" width="26.42578125" style="26" customWidth="1"/>
    <col min="8" max="8" width="9.7109375" style="26" bestFit="1" customWidth="1"/>
    <col min="9" max="9" width="18.5703125" style="26" customWidth="1"/>
    <col min="10" max="10" width="10.42578125" style="26" customWidth="1"/>
    <col min="11" max="11" width="12.85546875" style="26" bestFit="1" customWidth="1"/>
    <col min="12" max="12" width="15.28515625" style="26" bestFit="1" customWidth="1"/>
    <col min="13" max="13" width="19.42578125" style="26" customWidth="1"/>
    <col min="14" max="21" width="9.140625" style="51"/>
    <col min="22" max="37" width="9.140625" style="3"/>
    <col min="38" max="41" width="9.140625" style="51"/>
    <col min="42" max="16384" width="9.140625" style="26"/>
  </cols>
  <sheetData>
    <row r="1" spans="1:41" ht="15.75" thickBot="1" x14ac:dyDescent="0.3">
      <c r="A1" s="3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1" ht="17.25" thickTop="1" thickBot="1" x14ac:dyDescent="0.3">
      <c r="A2" s="3"/>
      <c r="B2" s="444" t="s">
        <v>200</v>
      </c>
      <c r="C2" s="445"/>
      <c r="D2" s="445"/>
      <c r="E2" s="445"/>
      <c r="F2" s="446"/>
      <c r="G2" s="446"/>
      <c r="H2" s="446"/>
      <c r="I2" s="446"/>
      <c r="J2" s="446"/>
      <c r="K2" s="446"/>
      <c r="L2" s="446"/>
      <c r="M2" s="447"/>
      <c r="N2" s="106"/>
      <c r="O2" s="106"/>
      <c r="P2" s="106"/>
      <c r="Q2" s="106"/>
      <c r="R2" s="106"/>
      <c r="S2" s="106"/>
      <c r="T2" s="3"/>
      <c r="U2" s="3"/>
      <c r="AL2" s="26"/>
      <c r="AM2" s="26"/>
      <c r="AN2" s="26"/>
      <c r="AO2" s="26"/>
    </row>
    <row r="3" spans="1:41" x14ac:dyDescent="0.25">
      <c r="A3" s="3"/>
      <c r="B3" s="459" t="s">
        <v>192</v>
      </c>
      <c r="C3" s="460"/>
      <c r="D3" s="24">
        <v>12</v>
      </c>
      <c r="E3" s="107">
        <v>365</v>
      </c>
      <c r="F3" s="108"/>
      <c r="G3" s="452" t="s">
        <v>13</v>
      </c>
      <c r="H3" s="453"/>
      <c r="I3" s="453"/>
      <c r="J3" s="453"/>
      <c r="K3" s="453"/>
      <c r="L3" s="453"/>
      <c r="M3" s="454"/>
      <c r="N3" s="106"/>
      <c r="O3" s="106"/>
      <c r="P3" s="106"/>
      <c r="Q3" s="106"/>
      <c r="R3" s="106"/>
      <c r="S3" s="106"/>
      <c r="T3" s="3"/>
      <c r="U3" s="3"/>
      <c r="AL3" s="26"/>
      <c r="AM3" s="26"/>
      <c r="AN3" s="26"/>
      <c r="AO3" s="26"/>
    </row>
    <row r="4" spans="1:41" ht="22.5" x14ac:dyDescent="0.25">
      <c r="A4" s="3"/>
      <c r="B4" s="455" t="s">
        <v>53</v>
      </c>
      <c r="C4" s="456"/>
      <c r="D4" s="109"/>
      <c r="E4" s="110"/>
      <c r="F4" s="108"/>
      <c r="G4" s="111"/>
      <c r="H4" s="1" t="s">
        <v>14</v>
      </c>
      <c r="I4" s="1" t="s">
        <v>195</v>
      </c>
      <c r="J4" s="1" t="s">
        <v>196</v>
      </c>
      <c r="K4" s="1" t="s">
        <v>15</v>
      </c>
      <c r="L4" s="1" t="s">
        <v>16</v>
      </c>
      <c r="M4" s="9" t="s">
        <v>197</v>
      </c>
      <c r="N4" s="106"/>
      <c r="O4" s="106"/>
      <c r="P4" s="106"/>
      <c r="Q4" s="106"/>
      <c r="R4" s="106"/>
      <c r="S4" s="106"/>
      <c r="T4" s="3"/>
      <c r="U4" s="3"/>
      <c r="AL4" s="26"/>
      <c r="AM4" s="26"/>
      <c r="AN4" s="26"/>
      <c r="AO4" s="26"/>
    </row>
    <row r="5" spans="1:41" x14ac:dyDescent="0.25">
      <c r="A5" s="3"/>
      <c r="B5" s="457" t="s">
        <v>73</v>
      </c>
      <c r="C5" s="458"/>
      <c r="D5" s="112" t="s">
        <v>37</v>
      </c>
      <c r="E5" s="113">
        <v>0.24</v>
      </c>
      <c r="F5" s="108"/>
      <c r="G5" s="114" t="s">
        <v>96</v>
      </c>
      <c r="H5" s="115">
        <v>11.9</v>
      </c>
      <c r="I5" s="116">
        <v>7</v>
      </c>
      <c r="J5" s="116">
        <v>365</v>
      </c>
      <c r="K5" s="117">
        <f>H5*J5</f>
        <v>4343.5</v>
      </c>
      <c r="L5" s="118">
        <v>1</v>
      </c>
      <c r="M5" s="119">
        <f>L5*K5</f>
        <v>4343.5</v>
      </c>
      <c r="N5" s="106"/>
      <c r="O5" s="106"/>
      <c r="P5" s="106"/>
      <c r="Q5" s="106"/>
      <c r="R5" s="106"/>
      <c r="S5" s="106"/>
      <c r="T5" s="3"/>
      <c r="U5" s="3"/>
      <c r="AL5" s="26"/>
      <c r="AM5" s="26"/>
      <c r="AN5" s="26"/>
      <c r="AO5" s="26"/>
    </row>
    <row r="6" spans="1:41" ht="15" customHeight="1" x14ac:dyDescent="0.25">
      <c r="A6" s="3"/>
      <c r="B6" s="461" t="s">
        <v>99</v>
      </c>
      <c r="C6" s="462"/>
      <c r="D6" s="462"/>
      <c r="E6" s="463"/>
      <c r="F6" s="108"/>
      <c r="G6" s="120" t="s">
        <v>108</v>
      </c>
      <c r="H6" s="116">
        <v>0</v>
      </c>
      <c r="I6" s="116">
        <v>7</v>
      </c>
      <c r="J6" s="116">
        <v>365</v>
      </c>
      <c r="K6" s="117">
        <f>H6*J6</f>
        <v>0</v>
      </c>
      <c r="L6" s="118">
        <v>0.7</v>
      </c>
      <c r="M6" s="119">
        <f>L6*K6</f>
        <v>0</v>
      </c>
      <c r="N6" s="106"/>
      <c r="O6" s="106"/>
      <c r="P6" s="106"/>
      <c r="Q6" s="106"/>
      <c r="R6" s="106"/>
      <c r="S6" s="106"/>
      <c r="T6" s="3"/>
      <c r="U6" s="3"/>
      <c r="AL6" s="26"/>
      <c r="AM6" s="26"/>
      <c r="AN6" s="26"/>
      <c r="AO6" s="26"/>
    </row>
    <row r="7" spans="1:41" ht="15.75" thickBot="1" x14ac:dyDescent="0.3">
      <c r="A7" s="3"/>
      <c r="B7" s="455" t="s">
        <v>193</v>
      </c>
      <c r="C7" s="456"/>
      <c r="D7" s="28" t="s">
        <v>102</v>
      </c>
      <c r="E7" s="121" t="s">
        <v>103</v>
      </c>
      <c r="F7" s="108"/>
      <c r="G7" s="120" t="s">
        <v>6</v>
      </c>
      <c r="H7" s="122">
        <f>SUM(H5:H6)</f>
        <v>11.9</v>
      </c>
      <c r="I7" s="123"/>
      <c r="J7" s="123"/>
      <c r="K7" s="124">
        <f>SUM(K5:K6)</f>
        <v>4343.5</v>
      </c>
      <c r="L7" s="123"/>
      <c r="M7" s="125">
        <f>SUM(M5:M6)</f>
        <v>4343.5</v>
      </c>
      <c r="N7" s="106"/>
      <c r="O7" s="106"/>
      <c r="P7" s="106"/>
      <c r="Q7" s="106"/>
      <c r="R7" s="106"/>
      <c r="S7" s="106"/>
      <c r="T7" s="3"/>
      <c r="U7" s="3"/>
      <c r="AL7" s="26"/>
      <c r="AM7" s="26"/>
      <c r="AN7" s="26"/>
      <c r="AO7" s="26"/>
    </row>
    <row r="8" spans="1:41" ht="15.75" thickBot="1" x14ac:dyDescent="0.3">
      <c r="A8" s="3"/>
      <c r="B8" s="450" t="s">
        <v>56</v>
      </c>
      <c r="C8" s="451"/>
      <c r="D8" s="108" t="s">
        <v>55</v>
      </c>
      <c r="E8" s="126">
        <v>0.15</v>
      </c>
      <c r="F8" s="108"/>
      <c r="G8" s="127" t="s">
        <v>71</v>
      </c>
      <c r="H8" s="128">
        <f>H7</f>
        <v>11.9</v>
      </c>
      <c r="I8" s="129"/>
      <c r="J8" s="129"/>
      <c r="K8" s="467" t="s">
        <v>97</v>
      </c>
      <c r="L8" s="468"/>
      <c r="M8" s="130">
        <f>H7*M7/K7</f>
        <v>11.9</v>
      </c>
      <c r="N8" s="106"/>
      <c r="O8" s="106"/>
      <c r="P8" s="106"/>
      <c r="Q8" s="106"/>
      <c r="R8" s="106"/>
      <c r="S8" s="106"/>
      <c r="T8" s="3"/>
      <c r="U8" s="3"/>
      <c r="AL8" s="26"/>
      <c r="AM8" s="26"/>
      <c r="AN8" s="26"/>
      <c r="AO8" s="26"/>
    </row>
    <row r="9" spans="1:41" ht="15" customHeight="1" x14ac:dyDescent="0.25">
      <c r="A9" s="3"/>
      <c r="B9" s="450" t="s">
        <v>155</v>
      </c>
      <c r="C9" s="451"/>
      <c r="D9" s="108" t="s">
        <v>51</v>
      </c>
      <c r="E9" s="131">
        <v>0.1479</v>
      </c>
      <c r="F9" s="108"/>
      <c r="G9" s="464" t="s">
        <v>136</v>
      </c>
      <c r="H9" s="465"/>
      <c r="I9" s="465"/>
      <c r="J9" s="465"/>
      <c r="K9" s="465"/>
      <c r="L9" s="465"/>
      <c r="M9" s="466"/>
      <c r="N9" s="106"/>
      <c r="O9" s="106"/>
      <c r="P9" s="106"/>
      <c r="Q9" s="106"/>
      <c r="R9" s="106"/>
      <c r="S9" s="106"/>
      <c r="T9" s="3"/>
      <c r="U9" s="3"/>
      <c r="AL9" s="26"/>
      <c r="AM9" s="26"/>
      <c r="AN9" s="26"/>
      <c r="AO9" s="26"/>
    </row>
    <row r="10" spans="1:41" ht="18" customHeight="1" x14ac:dyDescent="0.25">
      <c r="A10" s="3"/>
      <c r="B10" s="450" t="s">
        <v>194</v>
      </c>
      <c r="C10" s="451"/>
      <c r="D10" s="108" t="s">
        <v>37</v>
      </c>
      <c r="E10" s="126">
        <v>0.01</v>
      </c>
      <c r="F10" s="108"/>
      <c r="G10" s="132"/>
      <c r="H10" s="6" t="s">
        <v>105</v>
      </c>
      <c r="I10" s="7"/>
      <c r="J10" s="8" t="s">
        <v>14</v>
      </c>
      <c r="K10" s="8" t="s">
        <v>195</v>
      </c>
      <c r="L10" s="8" t="s">
        <v>198</v>
      </c>
      <c r="M10" s="10" t="s">
        <v>15</v>
      </c>
      <c r="N10" s="106"/>
      <c r="O10" s="106"/>
      <c r="P10" s="106"/>
      <c r="Q10" s="106"/>
      <c r="R10" s="106"/>
      <c r="S10" s="106"/>
      <c r="T10" s="3"/>
      <c r="U10" s="3"/>
      <c r="AL10" s="26"/>
      <c r="AM10" s="26"/>
      <c r="AN10" s="26"/>
      <c r="AO10" s="26"/>
    </row>
    <row r="11" spans="1:41" ht="18.75" customHeight="1" x14ac:dyDescent="0.25">
      <c r="A11" s="3"/>
      <c r="B11" s="448" t="s">
        <v>52</v>
      </c>
      <c r="C11" s="449"/>
      <c r="D11" s="28"/>
      <c r="E11" s="121" t="s">
        <v>37</v>
      </c>
      <c r="F11" s="108"/>
      <c r="G11" s="133" t="s">
        <v>106</v>
      </c>
      <c r="H11" s="134">
        <v>0.72916666666666663</v>
      </c>
      <c r="I11" s="134">
        <v>0.9375</v>
      </c>
      <c r="J11" s="135">
        <v>5</v>
      </c>
      <c r="K11" s="132">
        <v>7</v>
      </c>
      <c r="L11" s="132">
        <v>182.5</v>
      </c>
      <c r="M11" s="136">
        <v>912.5</v>
      </c>
      <c r="N11" s="106"/>
      <c r="O11" s="106"/>
      <c r="P11" s="106"/>
      <c r="Q11" s="106"/>
      <c r="R11" s="106"/>
      <c r="S11" s="106"/>
      <c r="T11" s="3"/>
      <c r="U11" s="3"/>
      <c r="AL11" s="26"/>
      <c r="AM11" s="26"/>
      <c r="AN11" s="26"/>
      <c r="AO11" s="26"/>
    </row>
    <row r="12" spans="1:41" ht="17.25" customHeight="1" thickBot="1" x14ac:dyDescent="0.3">
      <c r="A12" s="3"/>
      <c r="B12" s="450" t="s">
        <v>156</v>
      </c>
      <c r="C12" s="451"/>
      <c r="D12" s="108" t="s">
        <v>37</v>
      </c>
      <c r="E12" s="126">
        <v>1.4999999999999999E-2</v>
      </c>
      <c r="F12" s="108"/>
      <c r="G12" s="133" t="s">
        <v>107</v>
      </c>
      <c r="H12" s="134">
        <v>0.85416666666666663</v>
      </c>
      <c r="I12" s="134">
        <v>0.95833333333333337</v>
      </c>
      <c r="J12" s="137">
        <v>2.5</v>
      </c>
      <c r="K12" s="132">
        <v>7</v>
      </c>
      <c r="L12" s="132">
        <v>182.5</v>
      </c>
      <c r="M12" s="136">
        <v>456.25</v>
      </c>
      <c r="N12" s="106"/>
      <c r="O12" s="106"/>
      <c r="P12" s="106"/>
      <c r="Q12" s="106"/>
      <c r="R12" s="106"/>
      <c r="S12" s="106"/>
      <c r="T12" s="3"/>
      <c r="U12" s="3"/>
      <c r="AL12" s="26"/>
      <c r="AM12" s="26"/>
      <c r="AN12" s="26"/>
      <c r="AO12" s="26"/>
    </row>
    <row r="13" spans="1:41" ht="18.75" customHeight="1" thickBot="1" x14ac:dyDescent="0.3">
      <c r="A13" s="3"/>
      <c r="B13" s="450" t="s">
        <v>157</v>
      </c>
      <c r="C13" s="451"/>
      <c r="D13" s="108" t="s">
        <v>37</v>
      </c>
      <c r="E13" s="126">
        <v>1.4999999999999999E-2</v>
      </c>
      <c r="F13" s="108"/>
      <c r="G13" s="133" t="s">
        <v>71</v>
      </c>
      <c r="H13" s="134"/>
      <c r="I13" s="138"/>
      <c r="J13" s="139">
        <v>3.75</v>
      </c>
      <c r="K13" s="140"/>
      <c r="L13" s="141"/>
      <c r="M13" s="142"/>
      <c r="N13" s="106"/>
      <c r="O13" s="106"/>
      <c r="P13" s="106"/>
      <c r="Q13" s="106"/>
      <c r="R13" s="106"/>
      <c r="S13" s="106"/>
      <c r="T13" s="3"/>
      <c r="U13" s="3"/>
      <c r="AL13" s="26"/>
      <c r="AM13" s="26"/>
      <c r="AN13" s="26"/>
      <c r="AO13" s="26"/>
    </row>
    <row r="14" spans="1:41" ht="23.25" customHeight="1" x14ac:dyDescent="0.25">
      <c r="A14" s="3"/>
      <c r="B14" s="450" t="s">
        <v>158</v>
      </c>
      <c r="C14" s="451"/>
      <c r="D14" s="108" t="s">
        <v>37</v>
      </c>
      <c r="E14" s="126">
        <v>1.4999999999999999E-2</v>
      </c>
      <c r="F14" s="108"/>
      <c r="G14" s="471" t="s">
        <v>0</v>
      </c>
      <c r="H14" s="472"/>
      <c r="I14" s="472"/>
      <c r="J14" s="472"/>
      <c r="K14" s="473"/>
      <c r="L14" s="143">
        <v>365</v>
      </c>
      <c r="M14" s="144">
        <v>1368.75</v>
      </c>
      <c r="N14" s="106"/>
      <c r="O14" s="106"/>
      <c r="P14" s="106"/>
      <c r="Q14" s="106"/>
      <c r="R14" s="106"/>
      <c r="S14" s="106"/>
      <c r="T14" s="3"/>
      <c r="U14" s="3"/>
      <c r="AL14" s="26"/>
      <c r="AM14" s="26"/>
      <c r="AN14" s="26"/>
      <c r="AO14" s="26"/>
    </row>
    <row r="15" spans="1:41" ht="15" customHeight="1" x14ac:dyDescent="0.25">
      <c r="A15" s="3"/>
      <c r="B15" s="448" t="s">
        <v>159</v>
      </c>
      <c r="C15" s="449"/>
      <c r="D15" s="28"/>
      <c r="E15" s="121"/>
      <c r="F15" s="108"/>
      <c r="G15" s="145"/>
      <c r="H15" s="145"/>
      <c r="I15" s="145"/>
      <c r="J15" s="145"/>
      <c r="K15" s="145"/>
      <c r="L15" s="4"/>
      <c r="M15" s="5"/>
      <c r="N15" s="106"/>
      <c r="O15" s="106"/>
      <c r="P15" s="106"/>
      <c r="Q15" s="106"/>
      <c r="R15" s="106"/>
      <c r="S15" s="106"/>
      <c r="T15" s="3"/>
      <c r="U15" s="3"/>
      <c r="AL15" s="26"/>
      <c r="AM15" s="26"/>
      <c r="AN15" s="26"/>
      <c r="AO15" s="26"/>
    </row>
    <row r="16" spans="1:41" ht="15" customHeight="1" x14ac:dyDescent="0.25">
      <c r="A16" s="3"/>
      <c r="B16" s="450" t="s">
        <v>160</v>
      </c>
      <c r="C16" s="451"/>
      <c r="D16" s="108"/>
      <c r="E16" s="146">
        <v>1.149</v>
      </c>
      <c r="F16" s="108"/>
      <c r="G16" s="145"/>
      <c r="H16" s="145"/>
      <c r="I16" s="145"/>
      <c r="J16" s="145"/>
      <c r="K16" s="145"/>
      <c r="L16" s="4"/>
      <c r="M16" s="5"/>
      <c r="N16" s="106"/>
      <c r="O16" s="106"/>
      <c r="P16" s="106"/>
      <c r="Q16" s="106"/>
      <c r="R16" s="106"/>
      <c r="S16" s="106"/>
      <c r="T16" s="3"/>
      <c r="U16" s="3"/>
      <c r="AL16" s="26"/>
      <c r="AM16" s="26"/>
      <c r="AN16" s="26"/>
      <c r="AO16" s="26"/>
    </row>
    <row r="17" spans="1:45" ht="15.75" thickBot="1" x14ac:dyDescent="0.3">
      <c r="A17" s="3"/>
      <c r="B17" s="469" t="s">
        <v>17</v>
      </c>
      <c r="C17" s="470"/>
      <c r="D17" s="147" t="s">
        <v>18</v>
      </c>
      <c r="E17" s="148">
        <v>0.52</v>
      </c>
      <c r="F17" s="149"/>
      <c r="G17" s="150"/>
      <c r="H17" s="150"/>
      <c r="I17" s="151"/>
      <c r="J17" s="152"/>
      <c r="K17" s="151"/>
      <c r="L17" s="83"/>
      <c r="M17" s="84"/>
      <c r="N17" s="106"/>
      <c r="O17" s="106"/>
      <c r="P17" s="106"/>
      <c r="Q17" s="106"/>
      <c r="R17" s="106"/>
      <c r="S17" s="106"/>
      <c r="T17" s="3"/>
      <c r="U17" s="3"/>
      <c r="AL17" s="26"/>
      <c r="AM17" s="26"/>
      <c r="AN17" s="26"/>
      <c r="AO17" s="26"/>
    </row>
    <row r="18" spans="1:45" x14ac:dyDescent="0.25">
      <c r="A18" s="3"/>
      <c r="B18" s="3"/>
      <c r="C18" s="4"/>
      <c r="D18" s="3"/>
      <c r="E18" s="3"/>
      <c r="F18" s="104"/>
      <c r="G18" s="3"/>
      <c r="H18" s="3"/>
      <c r="I18" s="104"/>
      <c r="J18" s="104"/>
      <c r="K18" s="104"/>
      <c r="L18" s="104"/>
      <c r="M18" s="104"/>
      <c r="N18" s="106"/>
      <c r="O18" s="106"/>
      <c r="P18" s="106"/>
      <c r="Q18" s="106"/>
      <c r="R18" s="106"/>
      <c r="S18" s="106"/>
      <c r="T18" s="3"/>
      <c r="U18" s="3"/>
    </row>
    <row r="19" spans="1:45" x14ac:dyDescent="0.25">
      <c r="A19" s="3"/>
      <c r="B19" s="104"/>
      <c r="C19" s="85"/>
      <c r="D19" s="104"/>
      <c r="E19" s="104"/>
      <c r="F19" s="104"/>
      <c r="G19" s="3"/>
      <c r="H19" s="3"/>
      <c r="I19" s="104"/>
      <c r="J19" s="104"/>
      <c r="K19" s="104"/>
      <c r="L19" s="104"/>
      <c r="M19" s="104"/>
      <c r="N19" s="106"/>
      <c r="O19" s="106"/>
      <c r="P19" s="106"/>
      <c r="Q19" s="106"/>
      <c r="R19" s="106"/>
      <c r="S19" s="106"/>
      <c r="T19" s="3"/>
      <c r="U19" s="3"/>
    </row>
    <row r="20" spans="1:45" x14ac:dyDescent="0.25">
      <c r="A20" s="3"/>
      <c r="B20" s="3"/>
      <c r="C20" s="4"/>
      <c r="D20" s="3"/>
      <c r="E20" s="104"/>
      <c r="F20" s="104"/>
      <c r="G20" s="3"/>
      <c r="H20" s="3"/>
      <c r="I20" s="104"/>
      <c r="J20" s="104"/>
      <c r="K20" s="104"/>
      <c r="L20" s="104"/>
      <c r="M20" s="104"/>
      <c r="N20" s="106"/>
      <c r="O20" s="106"/>
      <c r="P20" s="106"/>
      <c r="Q20" s="106"/>
      <c r="R20" s="106"/>
      <c r="S20" s="106"/>
      <c r="T20" s="3"/>
      <c r="U20" s="3"/>
    </row>
    <row r="21" spans="1:45" x14ac:dyDescent="0.25">
      <c r="A21" s="3"/>
      <c r="B21" s="3"/>
      <c r="C21" s="4"/>
      <c r="D21" s="3"/>
      <c r="E21" s="104"/>
      <c r="F21" s="104"/>
      <c r="G21" s="3"/>
      <c r="H21" s="3"/>
      <c r="I21" s="104"/>
      <c r="J21" s="104"/>
      <c r="K21" s="104"/>
      <c r="L21" s="104"/>
      <c r="M21" s="104"/>
      <c r="N21" s="106"/>
      <c r="O21" s="106"/>
      <c r="P21" s="106"/>
      <c r="Q21" s="106"/>
      <c r="R21" s="106"/>
      <c r="S21" s="106"/>
      <c r="T21" s="3"/>
      <c r="U21" s="3"/>
    </row>
    <row r="22" spans="1:45" x14ac:dyDescent="0.25">
      <c r="A22" s="3"/>
      <c r="B22" s="3"/>
      <c r="C22" s="4"/>
      <c r="D22" s="3"/>
      <c r="E22" s="104"/>
      <c r="F22" s="104"/>
      <c r="G22" s="104"/>
      <c r="H22" s="104"/>
      <c r="I22" s="104"/>
      <c r="J22" s="104"/>
      <c r="K22" s="104"/>
      <c r="L22" s="104"/>
      <c r="M22" s="104"/>
      <c r="N22" s="106"/>
      <c r="O22" s="106"/>
      <c r="P22" s="106"/>
      <c r="Q22" s="106"/>
      <c r="R22" s="106"/>
      <c r="S22" s="106"/>
      <c r="T22" s="3"/>
      <c r="U22" s="3"/>
    </row>
    <row r="23" spans="1:45" x14ac:dyDescent="0.25">
      <c r="A23" s="3"/>
      <c r="B23" s="3"/>
      <c r="C23" s="4"/>
      <c r="D23" s="3"/>
      <c r="E23" s="104"/>
      <c r="F23" s="104"/>
      <c r="G23" s="104"/>
      <c r="H23" s="104"/>
      <c r="I23" s="104"/>
      <c r="J23" s="104"/>
      <c r="K23" s="104"/>
      <c r="L23" s="104"/>
      <c r="M23" s="104"/>
      <c r="N23" s="106"/>
      <c r="O23" s="106"/>
      <c r="P23" s="106"/>
      <c r="Q23" s="106"/>
      <c r="R23" s="106"/>
      <c r="S23" s="106"/>
      <c r="T23" s="3"/>
      <c r="U23" s="3"/>
    </row>
    <row r="24" spans="1:45" x14ac:dyDescent="0.25">
      <c r="A24" s="3"/>
      <c r="B24" s="3"/>
      <c r="C24" s="4"/>
      <c r="D24" s="3"/>
      <c r="E24" s="104"/>
      <c r="F24" s="104"/>
      <c r="G24" s="104"/>
      <c r="H24" s="104"/>
      <c r="I24" s="104"/>
      <c r="J24" s="104"/>
      <c r="K24" s="104"/>
      <c r="L24" s="104"/>
      <c r="M24" s="104"/>
      <c r="N24" s="106"/>
      <c r="O24" s="106"/>
      <c r="P24" s="106"/>
      <c r="Q24" s="106"/>
      <c r="R24" s="106"/>
      <c r="S24" s="106"/>
      <c r="T24" s="3"/>
      <c r="U24" s="3"/>
    </row>
    <row r="25" spans="1:45" x14ac:dyDescent="0.25">
      <c r="A25" s="3"/>
      <c r="B25" s="3"/>
      <c r="C25" s="4"/>
      <c r="D25" s="3"/>
      <c r="E25" s="104"/>
      <c r="F25" s="104"/>
      <c r="G25" s="104"/>
      <c r="H25" s="104"/>
      <c r="I25" s="104"/>
      <c r="J25" s="104"/>
      <c r="K25" s="104"/>
      <c r="L25" s="104"/>
      <c r="M25" s="104"/>
      <c r="N25" s="106"/>
      <c r="O25" s="106"/>
      <c r="P25" s="106"/>
      <c r="Q25" s="106"/>
      <c r="R25" s="106"/>
      <c r="S25" s="106"/>
      <c r="T25" s="3"/>
      <c r="U25" s="3"/>
    </row>
    <row r="26" spans="1:45" x14ac:dyDescent="0.25">
      <c r="A26" s="3"/>
      <c r="B26" s="3"/>
      <c r="C26" s="4"/>
      <c r="D26" s="3"/>
      <c r="E26" s="104"/>
      <c r="F26" s="104"/>
      <c r="G26" s="104"/>
      <c r="H26" s="104"/>
      <c r="I26" s="104"/>
      <c r="J26" s="104"/>
      <c r="K26" s="104"/>
      <c r="L26" s="104"/>
      <c r="M26" s="104"/>
      <c r="N26" s="106"/>
      <c r="O26" s="106"/>
      <c r="P26" s="106"/>
      <c r="Q26" s="106"/>
      <c r="R26" s="106"/>
      <c r="S26" s="106"/>
      <c r="T26" s="3"/>
      <c r="U26" s="3"/>
    </row>
    <row r="27" spans="1:45" x14ac:dyDescent="0.25">
      <c r="A27" s="3"/>
      <c r="B27" s="3"/>
      <c r="C27" s="4"/>
      <c r="D27" s="3"/>
      <c r="E27" s="153"/>
      <c r="F27" s="104"/>
      <c r="G27" s="104"/>
      <c r="H27" s="104"/>
      <c r="I27" s="104"/>
      <c r="J27" s="104"/>
      <c r="K27" s="104"/>
      <c r="L27" s="104"/>
      <c r="M27" s="104"/>
      <c r="N27" s="3"/>
      <c r="O27" s="3"/>
      <c r="P27" s="3"/>
      <c r="Q27" s="3"/>
      <c r="R27" s="3"/>
      <c r="S27" s="3"/>
      <c r="T27" s="3"/>
      <c r="U27" s="3"/>
    </row>
    <row r="28" spans="1:45" x14ac:dyDescent="0.25">
      <c r="A28" s="3"/>
      <c r="B28" s="3"/>
      <c r="C28" s="4"/>
      <c r="D28" s="3"/>
      <c r="E28" s="154"/>
      <c r="F28" s="104"/>
      <c r="G28" s="104"/>
      <c r="H28" s="104"/>
      <c r="I28" s="104"/>
      <c r="J28" s="104"/>
      <c r="K28" s="104"/>
      <c r="L28" s="104"/>
      <c r="M28" s="104"/>
      <c r="N28" s="3"/>
      <c r="O28" s="3"/>
      <c r="P28" s="3"/>
      <c r="Q28" s="3"/>
      <c r="R28" s="3"/>
      <c r="S28" s="3"/>
      <c r="T28" s="3"/>
      <c r="U28" s="3"/>
    </row>
    <row r="29" spans="1:45" ht="14.25" customHeight="1" x14ac:dyDescent="0.25">
      <c r="A29" s="3"/>
      <c r="B29" s="3"/>
      <c r="C29" s="4"/>
      <c r="D29" s="3"/>
      <c r="E29" s="104"/>
      <c r="F29" s="104"/>
      <c r="G29" s="155"/>
      <c r="H29" s="153"/>
      <c r="I29" s="104"/>
      <c r="J29" s="104"/>
      <c r="K29" s="104"/>
      <c r="L29" s="104"/>
      <c r="M29" s="104"/>
      <c r="N29" s="3"/>
      <c r="O29" s="3"/>
      <c r="P29" s="3"/>
      <c r="Q29" s="3"/>
      <c r="R29" s="3"/>
      <c r="S29" s="3"/>
      <c r="T29" s="3"/>
      <c r="U29" s="3"/>
    </row>
    <row r="30" spans="1:45" x14ac:dyDescent="0.25">
      <c r="A30" s="3"/>
      <c r="B30" s="3"/>
      <c r="C30" s="4"/>
      <c r="D30" s="3"/>
      <c r="E30" s="104"/>
      <c r="F30" s="154"/>
      <c r="G30" s="104"/>
      <c r="H30" s="104"/>
      <c r="I30" s="104"/>
      <c r="J30" s="104"/>
      <c r="K30" s="104"/>
      <c r="L30" s="104"/>
      <c r="M30" s="104"/>
      <c r="N30" s="3"/>
      <c r="O30" s="3"/>
      <c r="P30" s="3"/>
      <c r="Q30" s="3"/>
      <c r="R30" s="3"/>
      <c r="S30" s="3"/>
      <c r="T30" s="3"/>
      <c r="U30" s="3"/>
      <c r="AP30" s="51"/>
      <c r="AQ30" s="51"/>
      <c r="AR30" s="51"/>
      <c r="AS30" s="51"/>
    </row>
    <row r="31" spans="1:45" x14ac:dyDescent="0.25">
      <c r="A31" s="3"/>
      <c r="B31" s="3"/>
      <c r="C31" s="4"/>
      <c r="D31" s="3"/>
      <c r="E31" s="3"/>
      <c r="F31" s="104"/>
      <c r="G31" s="104"/>
      <c r="H31" s="104"/>
      <c r="I31" s="104"/>
      <c r="J31" s="104"/>
      <c r="K31" s="104"/>
      <c r="L31" s="104"/>
      <c r="M31" s="104"/>
      <c r="N31" s="3"/>
      <c r="O31" s="3"/>
      <c r="P31" s="3"/>
      <c r="Q31" s="3"/>
      <c r="R31" s="3"/>
      <c r="S31" s="3"/>
      <c r="T31" s="3"/>
      <c r="U31" s="3"/>
    </row>
    <row r="32" spans="1:45" s="3" customFormat="1" x14ac:dyDescent="0.25">
      <c r="C32" s="4"/>
      <c r="F32" s="104"/>
    </row>
    <row r="33" spans="3:3" s="3" customFormat="1" ht="18.75" customHeight="1" x14ac:dyDescent="0.25">
      <c r="C33" s="4"/>
    </row>
    <row r="34" spans="3:3" s="3" customFormat="1" x14ac:dyDescent="0.25">
      <c r="C34" s="4"/>
    </row>
    <row r="35" spans="3:3" s="3" customFormat="1" x14ac:dyDescent="0.25">
      <c r="C35" s="4"/>
    </row>
    <row r="36" spans="3:3" s="3" customFormat="1" x14ac:dyDescent="0.25">
      <c r="C36" s="4"/>
    </row>
    <row r="37" spans="3:3" s="3" customFormat="1" x14ac:dyDescent="0.25">
      <c r="C37" s="4"/>
    </row>
    <row r="38" spans="3:3" s="3" customFormat="1" x14ac:dyDescent="0.25">
      <c r="C38" s="4"/>
    </row>
    <row r="39" spans="3:3" s="3" customFormat="1" x14ac:dyDescent="0.25">
      <c r="C39" s="4"/>
    </row>
    <row r="40" spans="3:3" s="3" customFormat="1" x14ac:dyDescent="0.25">
      <c r="C40" s="4"/>
    </row>
    <row r="41" spans="3:3" s="3" customFormat="1" x14ac:dyDescent="0.25">
      <c r="C41" s="4"/>
    </row>
    <row r="42" spans="3:3" s="3" customFormat="1" x14ac:dyDescent="0.25">
      <c r="C42" s="4"/>
    </row>
    <row r="43" spans="3:3" s="3" customFormat="1" x14ac:dyDescent="0.25">
      <c r="C43" s="4"/>
    </row>
    <row r="44" spans="3:3" s="3" customFormat="1" x14ac:dyDescent="0.25">
      <c r="C44" s="4"/>
    </row>
    <row r="45" spans="3:3" s="3" customFormat="1" x14ac:dyDescent="0.25">
      <c r="C45" s="4"/>
    </row>
    <row r="46" spans="3:3" s="3" customFormat="1" x14ac:dyDescent="0.25">
      <c r="C46" s="4"/>
    </row>
    <row r="47" spans="3:3" s="3" customFormat="1" x14ac:dyDescent="0.25">
      <c r="C47" s="4"/>
    </row>
    <row r="48" spans="3:3" s="3" customFormat="1" x14ac:dyDescent="0.25">
      <c r="C48" s="4"/>
    </row>
    <row r="49" spans="3:3" s="3" customFormat="1" x14ac:dyDescent="0.25">
      <c r="C49" s="4"/>
    </row>
    <row r="50" spans="3:3" s="3" customFormat="1" x14ac:dyDescent="0.25">
      <c r="C50" s="4"/>
    </row>
    <row r="51" spans="3:3" s="3" customFormat="1" x14ac:dyDescent="0.25">
      <c r="C51" s="4"/>
    </row>
    <row r="52" spans="3:3" s="3" customFormat="1" x14ac:dyDescent="0.25">
      <c r="C52" s="4"/>
    </row>
    <row r="53" spans="3:3" s="3" customFormat="1" x14ac:dyDescent="0.25">
      <c r="C53" s="4"/>
    </row>
    <row r="54" spans="3:3" s="3" customFormat="1" x14ac:dyDescent="0.25">
      <c r="C54" s="4"/>
    </row>
    <row r="55" spans="3:3" s="3" customFormat="1" x14ac:dyDescent="0.25">
      <c r="C55" s="4"/>
    </row>
    <row r="56" spans="3:3" s="3" customFormat="1" x14ac:dyDescent="0.25">
      <c r="C56" s="4"/>
    </row>
    <row r="57" spans="3:3" s="3" customFormat="1" x14ac:dyDescent="0.25">
      <c r="C57" s="4"/>
    </row>
    <row r="58" spans="3:3" s="3" customFormat="1" x14ac:dyDescent="0.25">
      <c r="C58" s="4"/>
    </row>
    <row r="59" spans="3:3" s="3" customFormat="1" x14ac:dyDescent="0.25">
      <c r="C59" s="4"/>
    </row>
    <row r="60" spans="3:3" s="3" customFormat="1" x14ac:dyDescent="0.25">
      <c r="C60" s="4"/>
    </row>
    <row r="61" spans="3:3" s="3" customFormat="1" x14ac:dyDescent="0.25">
      <c r="C61" s="4"/>
    </row>
    <row r="62" spans="3:3" s="3" customFormat="1" x14ac:dyDescent="0.25">
      <c r="C62" s="4"/>
    </row>
    <row r="63" spans="3:3" s="3" customFormat="1" x14ac:dyDescent="0.25">
      <c r="C63" s="4"/>
    </row>
    <row r="64" spans="3:3" s="3" customFormat="1" x14ac:dyDescent="0.25">
      <c r="C64" s="4"/>
    </row>
    <row r="65" spans="3:3" s="3" customFormat="1" x14ac:dyDescent="0.25">
      <c r="C65" s="4"/>
    </row>
    <row r="66" spans="3:3" s="3" customFormat="1" x14ac:dyDescent="0.25">
      <c r="C66" s="4"/>
    </row>
    <row r="67" spans="3:3" s="3" customFormat="1" x14ac:dyDescent="0.25">
      <c r="C67" s="4"/>
    </row>
    <row r="68" spans="3:3" s="3" customFormat="1" x14ac:dyDescent="0.25">
      <c r="C68" s="4"/>
    </row>
    <row r="69" spans="3:3" s="3" customFormat="1" x14ac:dyDescent="0.25">
      <c r="C69" s="4"/>
    </row>
    <row r="70" spans="3:3" s="3" customFormat="1" x14ac:dyDescent="0.25">
      <c r="C70" s="4"/>
    </row>
    <row r="71" spans="3:3" s="3" customFormat="1" x14ac:dyDescent="0.25">
      <c r="C71" s="4"/>
    </row>
    <row r="72" spans="3:3" s="3" customFormat="1" x14ac:dyDescent="0.25">
      <c r="C72" s="4"/>
    </row>
    <row r="73" spans="3:3" s="3" customFormat="1" x14ac:dyDescent="0.25">
      <c r="C73" s="4"/>
    </row>
    <row r="74" spans="3:3" s="3" customFormat="1" x14ac:dyDescent="0.25">
      <c r="C74" s="4"/>
    </row>
    <row r="75" spans="3:3" s="3" customFormat="1" x14ac:dyDescent="0.25">
      <c r="C75" s="4"/>
    </row>
    <row r="76" spans="3:3" s="3" customFormat="1" x14ac:dyDescent="0.25">
      <c r="C76" s="4"/>
    </row>
    <row r="77" spans="3:3" s="3" customFormat="1" x14ac:dyDescent="0.25">
      <c r="C77" s="4"/>
    </row>
    <row r="78" spans="3:3" s="3" customFormat="1" x14ac:dyDescent="0.25">
      <c r="C78" s="4"/>
    </row>
    <row r="79" spans="3:3" s="3" customFormat="1" x14ac:dyDescent="0.25">
      <c r="C79" s="4"/>
    </row>
    <row r="80" spans="3:3" s="3" customFormat="1" x14ac:dyDescent="0.25">
      <c r="C80" s="4"/>
    </row>
    <row r="81" spans="3:3" s="3" customFormat="1" x14ac:dyDescent="0.25">
      <c r="C81" s="4"/>
    </row>
    <row r="82" spans="3:3" s="3" customFormat="1" x14ac:dyDescent="0.25">
      <c r="C82" s="4"/>
    </row>
    <row r="83" spans="3:3" s="3" customFormat="1" x14ac:dyDescent="0.25">
      <c r="C83" s="4"/>
    </row>
    <row r="84" spans="3:3" s="3" customFormat="1" x14ac:dyDescent="0.25">
      <c r="C84" s="4"/>
    </row>
    <row r="85" spans="3:3" s="3" customFormat="1" x14ac:dyDescent="0.25">
      <c r="C85" s="4"/>
    </row>
    <row r="86" spans="3:3" s="3" customFormat="1" x14ac:dyDescent="0.25">
      <c r="C86" s="4"/>
    </row>
    <row r="87" spans="3:3" s="3" customFormat="1" x14ac:dyDescent="0.25">
      <c r="C87" s="4"/>
    </row>
    <row r="88" spans="3:3" s="3" customFormat="1" x14ac:dyDescent="0.25">
      <c r="C88" s="4"/>
    </row>
    <row r="89" spans="3:3" s="3" customFormat="1" x14ac:dyDescent="0.25">
      <c r="C89" s="4"/>
    </row>
    <row r="90" spans="3:3" s="3" customFormat="1" x14ac:dyDescent="0.25">
      <c r="C90" s="4"/>
    </row>
    <row r="91" spans="3:3" s="3" customFormat="1" x14ac:dyDescent="0.25">
      <c r="C91" s="4"/>
    </row>
    <row r="92" spans="3:3" s="3" customFormat="1" x14ac:dyDescent="0.25">
      <c r="C92" s="4"/>
    </row>
    <row r="93" spans="3:3" s="3" customFormat="1" x14ac:dyDescent="0.25">
      <c r="C93" s="4"/>
    </row>
    <row r="94" spans="3:3" s="3" customFormat="1" x14ac:dyDescent="0.25">
      <c r="C94" s="4"/>
    </row>
    <row r="95" spans="3:3" s="3" customFormat="1" x14ac:dyDescent="0.25">
      <c r="C95" s="4"/>
    </row>
    <row r="96" spans="3:3" s="3" customFormat="1" x14ac:dyDescent="0.25">
      <c r="C96" s="4"/>
    </row>
    <row r="97" spans="3:3" s="3" customFormat="1" x14ac:dyDescent="0.25">
      <c r="C97" s="4"/>
    </row>
    <row r="98" spans="3:3" s="3" customFormat="1" x14ac:dyDescent="0.25">
      <c r="C98" s="4"/>
    </row>
    <row r="99" spans="3:3" s="3" customFormat="1" x14ac:dyDescent="0.25">
      <c r="C99" s="4"/>
    </row>
    <row r="100" spans="3:3" s="3" customFormat="1" x14ac:dyDescent="0.25">
      <c r="C100" s="4"/>
    </row>
    <row r="101" spans="3:3" s="3" customFormat="1" x14ac:dyDescent="0.25">
      <c r="C101" s="4"/>
    </row>
    <row r="102" spans="3:3" s="3" customFormat="1" x14ac:dyDescent="0.25">
      <c r="C102" s="4"/>
    </row>
    <row r="103" spans="3:3" s="3" customFormat="1" x14ac:dyDescent="0.25">
      <c r="C103" s="4"/>
    </row>
    <row r="104" spans="3:3" s="3" customFormat="1" x14ac:dyDescent="0.25">
      <c r="C104" s="4"/>
    </row>
    <row r="105" spans="3:3" s="3" customFormat="1" x14ac:dyDescent="0.25">
      <c r="C105" s="4"/>
    </row>
    <row r="106" spans="3:3" s="3" customFormat="1" x14ac:dyDescent="0.25">
      <c r="C106" s="4"/>
    </row>
    <row r="107" spans="3:3" s="3" customFormat="1" x14ac:dyDescent="0.25">
      <c r="C107" s="4"/>
    </row>
    <row r="108" spans="3:3" s="3" customFormat="1" x14ac:dyDescent="0.25">
      <c r="C108" s="4"/>
    </row>
    <row r="109" spans="3:3" s="3" customFormat="1" x14ac:dyDescent="0.25">
      <c r="C109" s="4"/>
    </row>
    <row r="110" spans="3:3" s="3" customFormat="1" x14ac:dyDescent="0.25">
      <c r="C110" s="4"/>
    </row>
    <row r="111" spans="3:3" s="3" customFormat="1" x14ac:dyDescent="0.25">
      <c r="C111" s="4"/>
    </row>
    <row r="112" spans="3:3" s="3" customFormat="1" x14ac:dyDescent="0.25">
      <c r="C112" s="4"/>
    </row>
    <row r="113" spans="2:13" s="3" customFormat="1" x14ac:dyDescent="0.25">
      <c r="C113" s="4"/>
    </row>
    <row r="114" spans="2:13" s="3" customFormat="1" x14ac:dyDescent="0.25">
      <c r="C114" s="4"/>
    </row>
    <row r="115" spans="2:13" s="3" customFormat="1" x14ac:dyDescent="0.25">
      <c r="C115" s="4"/>
    </row>
    <row r="116" spans="2:13" s="3" customFormat="1" x14ac:dyDescent="0.25">
      <c r="C116" s="4"/>
    </row>
    <row r="117" spans="2:13" s="3" customFormat="1" x14ac:dyDescent="0.25">
      <c r="C117" s="4"/>
    </row>
    <row r="118" spans="2:13" s="3" customFormat="1" x14ac:dyDescent="0.25">
      <c r="C118" s="4"/>
    </row>
    <row r="119" spans="2:13" s="3" customFormat="1" x14ac:dyDescent="0.25">
      <c r="C119" s="4"/>
    </row>
    <row r="120" spans="2:13" s="3" customFormat="1" x14ac:dyDescent="0.25">
      <c r="C120" s="4"/>
    </row>
    <row r="121" spans="2:13" s="3" customFormat="1" x14ac:dyDescent="0.25">
      <c r="C121" s="4"/>
    </row>
    <row r="122" spans="2:13" s="3" customFormat="1" x14ac:dyDescent="0.25">
      <c r="C122" s="4"/>
    </row>
    <row r="123" spans="2:13" s="3" customFormat="1" x14ac:dyDescent="0.25">
      <c r="C123" s="4"/>
    </row>
    <row r="124" spans="2:13" s="3" customFormat="1" x14ac:dyDescent="0.25">
      <c r="C124" s="4"/>
    </row>
    <row r="125" spans="2:13" s="3" customFormat="1" x14ac:dyDescent="0.25">
      <c r="C125" s="4"/>
    </row>
    <row r="126" spans="2:13" s="3" customFormat="1" x14ac:dyDescent="0.25">
      <c r="B126" s="51"/>
      <c r="C126" s="156"/>
      <c r="D126" s="51"/>
      <c r="E126" s="51"/>
    </row>
    <row r="127" spans="2:13" s="3" customFormat="1" x14ac:dyDescent="0.25">
      <c r="B127" s="51"/>
      <c r="C127" s="156"/>
      <c r="D127" s="51"/>
      <c r="E127" s="51"/>
      <c r="G127" s="51"/>
      <c r="H127" s="51"/>
      <c r="I127" s="51"/>
      <c r="J127" s="51"/>
      <c r="K127" s="51"/>
      <c r="L127" s="51"/>
      <c r="M127" s="51"/>
    </row>
    <row r="128" spans="2:13" s="3" customFormat="1" x14ac:dyDescent="0.25">
      <c r="B128" s="51"/>
      <c r="C128" s="156"/>
      <c r="D128" s="51"/>
      <c r="E128" s="51"/>
      <c r="F128" s="51"/>
      <c r="G128" s="51"/>
      <c r="H128" s="51"/>
      <c r="I128" s="51"/>
      <c r="J128" s="51"/>
      <c r="K128" s="51"/>
      <c r="L128" s="51"/>
      <c r="M128" s="51"/>
    </row>
    <row r="129" spans="2:45" s="3" customFormat="1" x14ac:dyDescent="0.25">
      <c r="B129" s="51"/>
      <c r="C129" s="156"/>
      <c r="D129" s="51"/>
      <c r="E129" s="51"/>
      <c r="F129" s="51"/>
      <c r="G129" s="51"/>
      <c r="H129" s="51"/>
      <c r="I129" s="51"/>
      <c r="J129" s="51"/>
      <c r="K129" s="51"/>
      <c r="L129" s="51"/>
      <c r="M129" s="51"/>
    </row>
    <row r="130" spans="2:45" s="3" customFormat="1" x14ac:dyDescent="0.25">
      <c r="B130" s="51"/>
      <c r="C130" s="156"/>
      <c r="D130" s="51"/>
      <c r="E130" s="51"/>
      <c r="F130" s="51"/>
      <c r="G130" s="51"/>
      <c r="H130" s="51"/>
      <c r="I130" s="51"/>
      <c r="J130" s="51"/>
      <c r="K130" s="51"/>
      <c r="L130" s="51"/>
      <c r="M130" s="51"/>
    </row>
    <row r="131" spans="2:45" s="3" customFormat="1" x14ac:dyDescent="0.25">
      <c r="B131" s="51"/>
      <c r="C131" s="156"/>
      <c r="D131" s="51"/>
      <c r="E131" s="51"/>
      <c r="F131" s="51"/>
      <c r="G131" s="51"/>
      <c r="H131" s="51"/>
      <c r="I131" s="51"/>
      <c r="J131" s="51"/>
      <c r="K131" s="51"/>
      <c r="L131" s="51"/>
      <c r="M131" s="51"/>
    </row>
    <row r="132" spans="2:45" s="3" customFormat="1" x14ac:dyDescent="0.25">
      <c r="B132" s="51"/>
      <c r="C132" s="156"/>
      <c r="D132" s="51"/>
      <c r="E132" s="51"/>
      <c r="F132" s="51"/>
      <c r="G132" s="51"/>
      <c r="H132" s="51"/>
      <c r="I132" s="51"/>
      <c r="J132" s="51"/>
      <c r="K132" s="51"/>
      <c r="L132" s="51"/>
      <c r="M132" s="51"/>
    </row>
    <row r="133" spans="2:45" s="3" customFormat="1" x14ac:dyDescent="0.25">
      <c r="B133" s="51"/>
      <c r="C133" s="156"/>
      <c r="D133" s="51"/>
      <c r="E133" s="51"/>
      <c r="F133" s="51"/>
      <c r="G133" s="51"/>
      <c r="H133" s="51"/>
      <c r="I133" s="51"/>
      <c r="J133" s="51"/>
      <c r="K133" s="51"/>
      <c r="L133" s="51"/>
      <c r="M133" s="51"/>
    </row>
    <row r="134" spans="2:45" x14ac:dyDescent="0.25">
      <c r="B134" s="51"/>
      <c r="C134" s="156"/>
      <c r="D134" s="51"/>
      <c r="E134" s="51"/>
      <c r="G134" s="51"/>
      <c r="H134" s="51"/>
      <c r="I134" s="51"/>
      <c r="J134" s="51"/>
      <c r="K134" s="51"/>
      <c r="L134" s="51"/>
      <c r="M134" s="51"/>
      <c r="AP134" s="51"/>
      <c r="AQ134" s="51"/>
      <c r="AR134" s="51"/>
      <c r="AS134" s="51"/>
    </row>
    <row r="135" spans="2:45" x14ac:dyDescent="0.25">
      <c r="B135" s="51"/>
      <c r="C135" s="156"/>
      <c r="D135" s="51"/>
      <c r="E135" s="51"/>
      <c r="G135" s="51"/>
      <c r="H135" s="51"/>
      <c r="I135" s="51"/>
      <c r="J135" s="51"/>
      <c r="K135" s="51"/>
      <c r="L135" s="51"/>
      <c r="M135" s="51"/>
      <c r="AP135" s="51"/>
      <c r="AQ135" s="51"/>
      <c r="AR135" s="51"/>
      <c r="AS135" s="51"/>
    </row>
    <row r="136" spans="2:45" x14ac:dyDescent="0.25">
      <c r="B136" s="51"/>
      <c r="C136" s="156"/>
      <c r="D136" s="51"/>
      <c r="E136" s="51"/>
      <c r="G136" s="51"/>
      <c r="H136" s="51"/>
      <c r="I136" s="51"/>
      <c r="J136" s="51"/>
      <c r="K136" s="51"/>
      <c r="L136" s="51"/>
      <c r="M136" s="51"/>
      <c r="AP136" s="51"/>
      <c r="AQ136" s="51"/>
      <c r="AR136" s="51"/>
      <c r="AS136" s="51"/>
    </row>
    <row r="137" spans="2:45" x14ac:dyDescent="0.25">
      <c r="B137" s="51"/>
      <c r="C137" s="156"/>
      <c r="D137" s="51"/>
      <c r="E137" s="51"/>
      <c r="G137" s="51"/>
      <c r="H137" s="51"/>
      <c r="I137" s="51"/>
      <c r="J137" s="51"/>
      <c r="K137" s="51"/>
      <c r="L137" s="51"/>
      <c r="M137" s="51"/>
      <c r="AP137" s="51"/>
      <c r="AQ137" s="51"/>
      <c r="AR137" s="51"/>
      <c r="AS137" s="51"/>
    </row>
    <row r="138" spans="2:45" x14ac:dyDescent="0.25">
      <c r="B138" s="51"/>
      <c r="C138" s="156"/>
      <c r="D138" s="51"/>
      <c r="E138" s="51"/>
      <c r="G138" s="51"/>
      <c r="H138" s="51"/>
      <c r="I138" s="51"/>
      <c r="J138" s="51"/>
      <c r="K138" s="51"/>
      <c r="L138" s="51"/>
      <c r="M138" s="51"/>
      <c r="AP138" s="51"/>
      <c r="AQ138" s="51"/>
      <c r="AR138" s="51"/>
      <c r="AS138" s="51"/>
    </row>
    <row r="139" spans="2:45" x14ac:dyDescent="0.25">
      <c r="B139" s="51"/>
      <c r="C139" s="156"/>
      <c r="D139" s="51"/>
      <c r="E139" s="51"/>
      <c r="G139" s="51"/>
      <c r="H139" s="51"/>
      <c r="I139" s="51"/>
      <c r="J139" s="51"/>
      <c r="K139" s="51"/>
      <c r="L139" s="51"/>
      <c r="M139" s="51"/>
      <c r="AP139" s="51"/>
      <c r="AQ139" s="51"/>
      <c r="AR139" s="51"/>
      <c r="AS139" s="51"/>
    </row>
    <row r="140" spans="2:45" x14ac:dyDescent="0.25">
      <c r="B140" s="51"/>
      <c r="C140" s="156"/>
      <c r="D140" s="51"/>
      <c r="E140" s="51"/>
      <c r="G140" s="51"/>
      <c r="H140" s="51"/>
      <c r="I140" s="51"/>
      <c r="J140" s="51"/>
      <c r="K140" s="51"/>
      <c r="L140" s="51"/>
      <c r="M140" s="51"/>
      <c r="AP140" s="51"/>
      <c r="AQ140" s="51"/>
      <c r="AR140" s="51"/>
      <c r="AS140" s="51"/>
    </row>
    <row r="141" spans="2:45" x14ac:dyDescent="0.25">
      <c r="B141" s="51"/>
      <c r="C141" s="156"/>
      <c r="D141" s="51"/>
      <c r="E141" s="51"/>
      <c r="G141" s="51"/>
      <c r="H141" s="51"/>
      <c r="I141" s="51"/>
      <c r="J141" s="51"/>
      <c r="K141" s="51"/>
      <c r="L141" s="51"/>
      <c r="M141" s="51"/>
      <c r="AP141" s="51"/>
      <c r="AQ141" s="51"/>
      <c r="AR141" s="51"/>
      <c r="AS141" s="51"/>
    </row>
    <row r="142" spans="2:45" x14ac:dyDescent="0.25">
      <c r="B142" s="51"/>
      <c r="C142" s="156"/>
      <c r="D142" s="51"/>
      <c r="E142" s="51"/>
      <c r="G142" s="51"/>
      <c r="H142" s="51"/>
      <c r="I142" s="51"/>
      <c r="J142" s="51"/>
      <c r="K142" s="51"/>
      <c r="L142" s="51"/>
      <c r="M142" s="51"/>
      <c r="AP142" s="51"/>
      <c r="AQ142" s="51"/>
      <c r="AR142" s="51"/>
      <c r="AS142" s="51"/>
    </row>
    <row r="143" spans="2:45" x14ac:dyDescent="0.25">
      <c r="B143" s="51"/>
      <c r="C143" s="156"/>
      <c r="D143" s="51"/>
      <c r="E143" s="51"/>
      <c r="G143" s="51"/>
      <c r="H143" s="51"/>
      <c r="I143" s="51"/>
      <c r="J143" s="51"/>
      <c r="K143" s="51"/>
      <c r="L143" s="51"/>
      <c r="M143" s="51"/>
      <c r="AP143" s="51"/>
      <c r="AQ143" s="51"/>
      <c r="AR143" s="51"/>
      <c r="AS143" s="51"/>
    </row>
    <row r="144" spans="2:45" x14ac:dyDescent="0.25">
      <c r="B144" s="51"/>
      <c r="C144" s="156"/>
      <c r="D144" s="51"/>
      <c r="E144" s="51"/>
      <c r="G144" s="51"/>
      <c r="H144" s="51"/>
      <c r="I144" s="51"/>
      <c r="J144" s="51"/>
      <c r="K144" s="51"/>
      <c r="L144" s="51"/>
      <c r="M144" s="51"/>
      <c r="AP144" s="51"/>
      <c r="AQ144" s="51"/>
      <c r="AR144" s="51"/>
      <c r="AS144" s="51"/>
    </row>
    <row r="145" spans="2:45" x14ac:dyDescent="0.25">
      <c r="B145" s="51"/>
      <c r="C145" s="156"/>
      <c r="D145" s="51"/>
      <c r="E145" s="51"/>
      <c r="G145" s="51"/>
      <c r="H145" s="51"/>
      <c r="I145" s="51"/>
      <c r="J145" s="51"/>
      <c r="K145" s="51"/>
      <c r="L145" s="51"/>
      <c r="M145" s="51"/>
      <c r="AP145" s="51"/>
      <c r="AQ145" s="51"/>
      <c r="AR145" s="51"/>
      <c r="AS145" s="51"/>
    </row>
    <row r="146" spans="2:45" x14ac:dyDescent="0.25">
      <c r="B146" s="51"/>
      <c r="C146" s="156"/>
      <c r="D146" s="51"/>
      <c r="E146" s="51"/>
      <c r="G146" s="51"/>
      <c r="H146" s="51"/>
      <c r="I146" s="51"/>
      <c r="J146" s="51"/>
      <c r="K146" s="51"/>
      <c r="L146" s="51"/>
      <c r="M146" s="51"/>
      <c r="AP146" s="51"/>
      <c r="AQ146" s="51"/>
      <c r="AR146" s="51"/>
      <c r="AS146" s="51"/>
    </row>
    <row r="147" spans="2:45" x14ac:dyDescent="0.25">
      <c r="B147" s="51"/>
      <c r="C147" s="156"/>
      <c r="D147" s="51"/>
      <c r="E147" s="51"/>
      <c r="G147" s="51"/>
      <c r="H147" s="51"/>
      <c r="I147" s="51"/>
      <c r="J147" s="51"/>
      <c r="K147" s="51"/>
      <c r="L147" s="51"/>
      <c r="M147" s="51"/>
      <c r="AP147" s="51"/>
      <c r="AQ147" s="51"/>
      <c r="AR147" s="51"/>
      <c r="AS147" s="51"/>
    </row>
    <row r="148" spans="2:45" x14ac:dyDescent="0.25">
      <c r="B148" s="51"/>
      <c r="C148" s="156"/>
      <c r="D148" s="51"/>
      <c r="E148" s="51"/>
      <c r="G148" s="51"/>
      <c r="H148" s="51"/>
      <c r="I148" s="51"/>
      <c r="J148" s="51"/>
      <c r="K148" s="51"/>
      <c r="L148" s="51"/>
      <c r="M148" s="51"/>
      <c r="AP148" s="51"/>
      <c r="AQ148" s="51"/>
      <c r="AR148" s="51"/>
      <c r="AS148" s="51"/>
    </row>
    <row r="149" spans="2:45" x14ac:dyDescent="0.25">
      <c r="B149" s="51"/>
      <c r="C149" s="156"/>
      <c r="D149" s="51"/>
      <c r="E149" s="51"/>
      <c r="G149" s="51"/>
      <c r="H149" s="51"/>
      <c r="I149" s="51"/>
      <c r="J149" s="51"/>
      <c r="K149" s="51"/>
      <c r="L149" s="51"/>
      <c r="M149" s="51"/>
      <c r="AP149" s="51"/>
      <c r="AQ149" s="51"/>
      <c r="AR149" s="51"/>
      <c r="AS149" s="51"/>
    </row>
    <row r="150" spans="2:45" x14ac:dyDescent="0.25">
      <c r="B150" s="51"/>
      <c r="C150" s="156"/>
      <c r="D150" s="51"/>
      <c r="E150" s="51"/>
      <c r="G150" s="51"/>
      <c r="H150" s="51"/>
      <c r="I150" s="51"/>
      <c r="J150" s="51"/>
      <c r="K150" s="51"/>
      <c r="L150" s="51"/>
      <c r="M150" s="51"/>
      <c r="AP150" s="51"/>
      <c r="AQ150" s="51"/>
      <c r="AR150" s="51"/>
      <c r="AS150" s="51"/>
    </row>
    <row r="151" spans="2:45" x14ac:dyDescent="0.25">
      <c r="B151" s="51"/>
      <c r="C151" s="156"/>
      <c r="D151" s="51"/>
      <c r="E151" s="51"/>
      <c r="G151" s="51"/>
      <c r="H151" s="51"/>
      <c r="I151" s="51"/>
      <c r="J151" s="51"/>
      <c r="K151" s="51"/>
      <c r="L151" s="51"/>
      <c r="M151" s="51"/>
      <c r="AP151" s="51"/>
      <c r="AQ151" s="51"/>
      <c r="AR151" s="51"/>
      <c r="AS151" s="51"/>
    </row>
    <row r="152" spans="2:45" x14ac:dyDescent="0.25">
      <c r="B152" s="51"/>
      <c r="C152" s="156"/>
      <c r="D152" s="51"/>
      <c r="E152" s="51"/>
      <c r="G152" s="51"/>
      <c r="H152" s="51"/>
      <c r="I152" s="51"/>
      <c r="J152" s="51"/>
      <c r="K152" s="51"/>
      <c r="L152" s="51"/>
      <c r="M152" s="51"/>
      <c r="AP152" s="51"/>
      <c r="AQ152" s="51"/>
      <c r="AR152" s="51"/>
      <c r="AS152" s="51"/>
    </row>
    <row r="153" spans="2:45" x14ac:dyDescent="0.25">
      <c r="B153" s="51"/>
      <c r="C153" s="156"/>
      <c r="D153" s="51"/>
      <c r="E153" s="51"/>
      <c r="G153" s="51"/>
      <c r="H153" s="51"/>
      <c r="I153" s="51"/>
      <c r="J153" s="51"/>
      <c r="K153" s="51"/>
      <c r="L153" s="51"/>
      <c r="M153" s="51"/>
      <c r="AP153" s="51"/>
      <c r="AQ153" s="51"/>
      <c r="AR153" s="51"/>
      <c r="AS153" s="51"/>
    </row>
    <row r="154" spans="2:45" x14ac:dyDescent="0.25">
      <c r="B154" s="51"/>
      <c r="C154" s="156"/>
      <c r="D154" s="51"/>
      <c r="E154" s="51"/>
      <c r="G154" s="51"/>
      <c r="H154" s="51"/>
      <c r="I154" s="51"/>
      <c r="J154" s="51"/>
      <c r="K154" s="51"/>
      <c r="L154" s="51"/>
      <c r="M154" s="51"/>
      <c r="AP154" s="51"/>
      <c r="AQ154" s="51"/>
      <c r="AR154" s="51"/>
      <c r="AS154" s="51"/>
    </row>
    <row r="155" spans="2:45" x14ac:dyDescent="0.25">
      <c r="B155" s="51"/>
      <c r="C155" s="156"/>
      <c r="D155" s="51"/>
      <c r="E155" s="51"/>
      <c r="G155" s="51"/>
      <c r="H155" s="51"/>
      <c r="I155" s="51"/>
      <c r="J155" s="51"/>
      <c r="K155" s="51"/>
      <c r="L155" s="51"/>
      <c r="M155" s="51"/>
      <c r="AP155" s="51"/>
      <c r="AQ155" s="51"/>
      <c r="AR155" s="51"/>
      <c r="AS155" s="51"/>
    </row>
    <row r="156" spans="2:45" x14ac:dyDescent="0.25">
      <c r="B156" s="51"/>
      <c r="C156" s="156"/>
      <c r="D156" s="51"/>
      <c r="E156" s="51"/>
      <c r="G156" s="51"/>
      <c r="H156" s="51"/>
      <c r="I156" s="51"/>
      <c r="J156" s="51"/>
      <c r="K156" s="51"/>
      <c r="L156" s="51"/>
      <c r="M156" s="51"/>
      <c r="AP156" s="51"/>
      <c r="AQ156" s="51"/>
      <c r="AR156" s="51"/>
      <c r="AS156" s="51"/>
    </row>
    <row r="157" spans="2:45" x14ac:dyDescent="0.25">
      <c r="B157" s="51"/>
      <c r="C157" s="156"/>
      <c r="D157" s="51"/>
      <c r="E157" s="51"/>
      <c r="G157" s="51"/>
      <c r="H157" s="51"/>
      <c r="I157" s="51"/>
      <c r="J157" s="51"/>
      <c r="K157" s="51"/>
      <c r="L157" s="51"/>
      <c r="M157" s="51"/>
      <c r="AP157" s="51"/>
      <c r="AQ157" s="51"/>
      <c r="AR157" s="51"/>
      <c r="AS157" s="51"/>
    </row>
    <row r="158" spans="2:45" x14ac:dyDescent="0.25">
      <c r="B158" s="51"/>
      <c r="C158" s="156"/>
      <c r="D158" s="51"/>
      <c r="E158" s="51"/>
      <c r="G158" s="51"/>
      <c r="H158" s="51"/>
      <c r="I158" s="51"/>
      <c r="J158" s="51"/>
      <c r="K158" s="51"/>
      <c r="L158" s="51"/>
      <c r="M158" s="51"/>
      <c r="AP158" s="51"/>
      <c r="AQ158" s="51"/>
      <c r="AR158" s="51"/>
      <c r="AS158" s="51"/>
    </row>
    <row r="159" spans="2:45" x14ac:dyDescent="0.25">
      <c r="B159" s="51"/>
      <c r="C159" s="156"/>
      <c r="D159" s="51"/>
      <c r="E159" s="51"/>
      <c r="G159" s="51"/>
      <c r="H159" s="51"/>
      <c r="I159" s="51"/>
      <c r="J159" s="51"/>
      <c r="K159" s="51"/>
      <c r="L159" s="51"/>
      <c r="M159" s="51"/>
      <c r="AP159" s="51"/>
      <c r="AQ159" s="51"/>
      <c r="AR159" s="51"/>
      <c r="AS159" s="51"/>
    </row>
    <row r="160" spans="2:45" x14ac:dyDescent="0.25">
      <c r="B160" s="51"/>
      <c r="C160" s="156"/>
      <c r="D160" s="51"/>
      <c r="E160" s="51"/>
      <c r="G160" s="51"/>
      <c r="H160" s="51"/>
      <c r="I160" s="51"/>
      <c r="J160" s="51"/>
      <c r="K160" s="51"/>
      <c r="L160" s="51"/>
      <c r="M160" s="51"/>
      <c r="AP160" s="51"/>
      <c r="AQ160" s="51"/>
      <c r="AR160" s="51"/>
      <c r="AS160" s="51"/>
    </row>
    <row r="161" spans="2:45" x14ac:dyDescent="0.25">
      <c r="B161" s="51"/>
      <c r="C161" s="156"/>
      <c r="D161" s="51"/>
      <c r="E161" s="51"/>
      <c r="G161" s="51"/>
      <c r="H161" s="51"/>
      <c r="I161" s="51"/>
      <c r="J161" s="51"/>
      <c r="K161" s="51"/>
      <c r="L161" s="51"/>
      <c r="M161" s="51"/>
      <c r="AP161" s="51"/>
      <c r="AQ161" s="51"/>
      <c r="AR161" s="51"/>
      <c r="AS161" s="51"/>
    </row>
    <row r="162" spans="2:45" x14ac:dyDescent="0.25">
      <c r="B162" s="51"/>
      <c r="C162" s="156"/>
      <c r="D162" s="51"/>
      <c r="E162" s="51"/>
      <c r="G162" s="51"/>
      <c r="H162" s="51"/>
      <c r="I162" s="51"/>
      <c r="J162" s="51"/>
      <c r="K162" s="51"/>
      <c r="L162" s="51"/>
      <c r="M162" s="51"/>
      <c r="AP162" s="51"/>
      <c r="AQ162" s="51"/>
      <c r="AR162" s="51"/>
      <c r="AS162" s="51"/>
    </row>
    <row r="163" spans="2:45" x14ac:dyDescent="0.25">
      <c r="B163" s="51"/>
      <c r="C163" s="156"/>
      <c r="D163" s="51"/>
      <c r="E163" s="51"/>
      <c r="G163" s="51"/>
      <c r="H163" s="51"/>
      <c r="I163" s="51"/>
      <c r="J163" s="51"/>
      <c r="K163" s="51"/>
      <c r="L163" s="51"/>
      <c r="M163" s="51"/>
      <c r="AP163" s="51"/>
      <c r="AQ163" s="51"/>
      <c r="AR163" s="51"/>
      <c r="AS163" s="51"/>
    </row>
    <row r="164" spans="2:45" x14ac:dyDescent="0.25">
      <c r="B164" s="51"/>
      <c r="C164" s="156"/>
      <c r="D164" s="51"/>
      <c r="E164" s="51"/>
      <c r="G164" s="51"/>
      <c r="H164" s="51"/>
      <c r="I164" s="51"/>
      <c r="J164" s="51"/>
      <c r="K164" s="51"/>
      <c r="L164" s="51"/>
      <c r="M164" s="51"/>
      <c r="AP164" s="51"/>
      <c r="AQ164" s="51"/>
      <c r="AR164" s="51"/>
      <c r="AS164" s="51"/>
    </row>
    <row r="165" spans="2:45" x14ac:dyDescent="0.25">
      <c r="B165" s="51"/>
      <c r="C165" s="156"/>
      <c r="D165" s="51"/>
      <c r="E165" s="51"/>
      <c r="G165" s="51"/>
      <c r="H165" s="51"/>
      <c r="I165" s="51"/>
      <c r="J165" s="51"/>
      <c r="K165" s="51"/>
      <c r="L165" s="51"/>
      <c r="M165" s="51"/>
      <c r="AP165" s="51"/>
      <c r="AQ165" s="51"/>
      <c r="AR165" s="51"/>
      <c r="AS165" s="51"/>
    </row>
    <row r="166" spans="2:45" x14ac:dyDescent="0.25">
      <c r="B166" s="51"/>
      <c r="C166" s="156"/>
      <c r="D166" s="51"/>
      <c r="E166" s="51"/>
      <c r="G166" s="51"/>
      <c r="H166" s="51"/>
      <c r="I166" s="51"/>
      <c r="J166" s="51"/>
      <c r="K166" s="51"/>
      <c r="L166" s="51"/>
      <c r="M166" s="51"/>
      <c r="AP166" s="51"/>
      <c r="AQ166" s="51"/>
      <c r="AR166" s="51"/>
      <c r="AS166" s="51"/>
    </row>
    <row r="167" spans="2:45" x14ac:dyDescent="0.25">
      <c r="B167" s="51"/>
      <c r="C167" s="156"/>
      <c r="D167" s="51"/>
      <c r="E167" s="51"/>
      <c r="G167" s="51"/>
      <c r="H167" s="51"/>
      <c r="I167" s="51"/>
      <c r="J167" s="51"/>
      <c r="K167" s="51"/>
      <c r="L167" s="51"/>
      <c r="M167" s="51"/>
      <c r="AP167" s="51"/>
      <c r="AQ167" s="51"/>
      <c r="AR167" s="51"/>
      <c r="AS167" s="51"/>
    </row>
    <row r="168" spans="2:45" x14ac:dyDescent="0.25">
      <c r="B168" s="51"/>
      <c r="C168" s="156"/>
      <c r="D168" s="51"/>
      <c r="E168" s="51"/>
      <c r="G168" s="51"/>
      <c r="H168" s="51"/>
      <c r="I168" s="51"/>
      <c r="J168" s="51"/>
      <c r="K168" s="51"/>
      <c r="L168" s="51"/>
      <c r="M168" s="51"/>
      <c r="AP168" s="51"/>
      <c r="AQ168" s="51"/>
      <c r="AR168" s="51"/>
      <c r="AS168" s="51"/>
    </row>
    <row r="169" spans="2:45" x14ac:dyDescent="0.25">
      <c r="B169" s="51"/>
      <c r="C169" s="156"/>
      <c r="D169" s="51"/>
      <c r="E169" s="51"/>
      <c r="G169" s="51"/>
      <c r="H169" s="51"/>
      <c r="I169" s="51"/>
      <c r="J169" s="51"/>
      <c r="K169" s="51"/>
      <c r="L169" s="51"/>
      <c r="M169" s="51"/>
      <c r="AP169" s="51"/>
      <c r="AQ169" s="51"/>
      <c r="AR169" s="51"/>
      <c r="AS169" s="51"/>
    </row>
    <row r="170" spans="2:45" x14ac:dyDescent="0.25">
      <c r="B170" s="51"/>
      <c r="C170" s="156"/>
      <c r="D170" s="51"/>
      <c r="E170" s="51"/>
      <c r="G170" s="51"/>
      <c r="H170" s="51"/>
      <c r="I170" s="51"/>
      <c r="J170" s="51"/>
      <c r="K170" s="51"/>
      <c r="L170" s="51"/>
      <c r="M170" s="51"/>
      <c r="AP170" s="51"/>
      <c r="AQ170" s="51"/>
      <c r="AR170" s="51"/>
      <c r="AS170" s="51"/>
    </row>
    <row r="171" spans="2:45" x14ac:dyDescent="0.25">
      <c r="B171" s="51"/>
      <c r="C171" s="156"/>
      <c r="D171" s="51"/>
      <c r="E171" s="51"/>
      <c r="G171" s="51"/>
      <c r="H171" s="51"/>
      <c r="I171" s="51"/>
      <c r="J171" s="51"/>
      <c r="K171" s="51"/>
      <c r="L171" s="51"/>
      <c r="M171" s="51"/>
      <c r="AP171" s="51"/>
      <c r="AQ171" s="51"/>
      <c r="AR171" s="51"/>
      <c r="AS171" s="51"/>
    </row>
    <row r="172" spans="2:45" x14ac:dyDescent="0.25">
      <c r="B172" s="51"/>
      <c r="C172" s="156"/>
      <c r="D172" s="51"/>
      <c r="E172" s="51"/>
      <c r="G172" s="51"/>
      <c r="H172" s="51"/>
      <c r="I172" s="51"/>
      <c r="J172" s="51"/>
      <c r="K172" s="51"/>
      <c r="L172" s="51"/>
      <c r="M172" s="51"/>
      <c r="AP172" s="51"/>
      <c r="AQ172" s="51"/>
      <c r="AR172" s="51"/>
      <c r="AS172" s="51"/>
    </row>
    <row r="173" spans="2:45" x14ac:dyDescent="0.25">
      <c r="B173" s="51"/>
      <c r="C173" s="156"/>
      <c r="D173" s="51"/>
      <c r="E173" s="51"/>
      <c r="G173" s="51"/>
      <c r="H173" s="51"/>
      <c r="I173" s="51"/>
      <c r="J173" s="51"/>
      <c r="K173" s="51"/>
      <c r="L173" s="51"/>
      <c r="M173" s="51"/>
      <c r="AP173" s="51"/>
      <c r="AQ173" s="51"/>
      <c r="AR173" s="51"/>
      <c r="AS173" s="51"/>
    </row>
    <row r="174" spans="2:45" x14ac:dyDescent="0.25">
      <c r="B174" s="51"/>
      <c r="C174" s="156"/>
      <c r="D174" s="51"/>
      <c r="E174" s="51"/>
      <c r="G174" s="51"/>
      <c r="H174" s="51"/>
      <c r="I174" s="51"/>
      <c r="J174" s="51"/>
      <c r="K174" s="51"/>
      <c r="L174" s="51"/>
      <c r="M174" s="51"/>
      <c r="AP174" s="51"/>
      <c r="AQ174" s="51"/>
      <c r="AR174" s="51"/>
      <c r="AS174" s="51"/>
    </row>
    <row r="175" spans="2:45" x14ac:dyDescent="0.25">
      <c r="B175" s="51"/>
      <c r="C175" s="156"/>
      <c r="D175" s="51"/>
      <c r="E175" s="51"/>
      <c r="G175" s="51"/>
      <c r="H175" s="51"/>
      <c r="I175" s="51"/>
      <c r="J175" s="51"/>
      <c r="K175" s="51"/>
      <c r="L175" s="51"/>
      <c r="M175" s="51"/>
      <c r="AP175" s="51"/>
      <c r="AQ175" s="51"/>
      <c r="AR175" s="51"/>
      <c r="AS175" s="51"/>
    </row>
    <row r="176" spans="2:45" x14ac:dyDescent="0.25">
      <c r="B176" s="51"/>
      <c r="C176" s="156"/>
      <c r="D176" s="51"/>
      <c r="E176" s="51"/>
      <c r="G176" s="51"/>
      <c r="H176" s="51"/>
      <c r="I176" s="51"/>
      <c r="J176" s="51"/>
      <c r="K176" s="51"/>
      <c r="L176" s="51"/>
      <c r="M176" s="51"/>
      <c r="AP176" s="51"/>
      <c r="AQ176" s="51"/>
      <c r="AR176" s="51"/>
      <c r="AS176" s="51"/>
    </row>
    <row r="177" spans="2:45" x14ac:dyDescent="0.25">
      <c r="B177" s="51"/>
      <c r="C177" s="156"/>
      <c r="D177" s="51"/>
      <c r="E177" s="51"/>
      <c r="G177" s="51"/>
      <c r="H177" s="51"/>
      <c r="I177" s="51"/>
      <c r="J177" s="51"/>
      <c r="K177" s="51"/>
      <c r="L177" s="51"/>
      <c r="M177" s="51"/>
      <c r="AP177" s="51"/>
      <c r="AQ177" s="51"/>
      <c r="AR177" s="51"/>
      <c r="AS177" s="51"/>
    </row>
    <row r="178" spans="2:45" x14ac:dyDescent="0.25">
      <c r="B178" s="51"/>
      <c r="C178" s="156"/>
      <c r="D178" s="51"/>
      <c r="E178" s="51"/>
      <c r="G178" s="51"/>
      <c r="H178" s="51"/>
      <c r="I178" s="51"/>
      <c r="J178" s="51"/>
      <c r="K178" s="51"/>
      <c r="L178" s="51"/>
      <c r="M178" s="51"/>
      <c r="AP178" s="51"/>
      <c r="AQ178" s="51"/>
      <c r="AR178" s="51"/>
      <c r="AS178" s="51"/>
    </row>
    <row r="179" spans="2:45" x14ac:dyDescent="0.25">
      <c r="B179" s="51"/>
      <c r="C179" s="156"/>
      <c r="D179" s="51"/>
      <c r="E179" s="51"/>
      <c r="G179" s="51"/>
      <c r="H179" s="51"/>
      <c r="I179" s="51"/>
      <c r="J179" s="51"/>
      <c r="K179" s="51"/>
      <c r="L179" s="51"/>
      <c r="M179" s="51"/>
      <c r="AP179" s="51"/>
      <c r="AQ179" s="51"/>
      <c r="AR179" s="51"/>
      <c r="AS179" s="51"/>
    </row>
    <row r="180" spans="2:45" x14ac:dyDescent="0.25">
      <c r="B180" s="51"/>
      <c r="C180" s="156"/>
      <c r="D180" s="51"/>
      <c r="E180" s="51"/>
      <c r="G180" s="51"/>
      <c r="H180" s="51"/>
      <c r="I180" s="51"/>
      <c r="J180" s="51"/>
      <c r="K180" s="51"/>
      <c r="L180" s="51"/>
      <c r="M180" s="51"/>
      <c r="AP180" s="51"/>
      <c r="AQ180" s="51"/>
      <c r="AR180" s="51"/>
      <c r="AS180" s="51"/>
    </row>
    <row r="181" spans="2:45" x14ac:dyDescent="0.25">
      <c r="B181" s="51"/>
      <c r="C181" s="156"/>
      <c r="D181" s="51"/>
      <c r="E181" s="51"/>
      <c r="G181" s="51"/>
      <c r="H181" s="51"/>
      <c r="I181" s="51"/>
      <c r="J181" s="51"/>
      <c r="K181" s="51"/>
      <c r="L181" s="51"/>
      <c r="M181" s="51"/>
      <c r="AP181" s="51"/>
      <c r="AQ181" s="51"/>
      <c r="AR181" s="51"/>
      <c r="AS181" s="51"/>
    </row>
    <row r="182" spans="2:45" x14ac:dyDescent="0.25">
      <c r="B182" s="51"/>
      <c r="C182" s="156"/>
      <c r="D182" s="51"/>
      <c r="E182" s="51"/>
      <c r="G182" s="51"/>
      <c r="H182" s="51"/>
      <c r="I182" s="51"/>
      <c r="J182" s="51"/>
      <c r="K182" s="51"/>
      <c r="L182" s="51"/>
      <c r="M182" s="51"/>
      <c r="AP182" s="51"/>
      <c r="AQ182" s="51"/>
      <c r="AR182" s="51"/>
      <c r="AS182" s="51"/>
    </row>
    <row r="183" spans="2:45" x14ac:dyDescent="0.25">
      <c r="B183" s="51"/>
      <c r="C183" s="156"/>
      <c r="D183" s="51"/>
      <c r="E183" s="51"/>
      <c r="G183" s="51"/>
      <c r="H183" s="51"/>
      <c r="I183" s="51"/>
      <c r="J183" s="51"/>
      <c r="K183" s="51"/>
      <c r="L183" s="51"/>
      <c r="M183" s="51"/>
      <c r="AP183" s="51"/>
      <c r="AQ183" s="51"/>
      <c r="AR183" s="51"/>
      <c r="AS183" s="51"/>
    </row>
    <row r="184" spans="2:45" x14ac:dyDescent="0.25">
      <c r="B184" s="51"/>
      <c r="C184" s="156"/>
      <c r="D184" s="51"/>
      <c r="E184" s="51"/>
      <c r="G184" s="51"/>
      <c r="H184" s="51"/>
      <c r="I184" s="51"/>
      <c r="J184" s="51"/>
      <c r="K184" s="51"/>
      <c r="L184" s="51"/>
      <c r="M184" s="51"/>
      <c r="AP184" s="51"/>
      <c r="AQ184" s="51"/>
      <c r="AR184" s="51"/>
      <c r="AS184" s="51"/>
    </row>
    <row r="185" spans="2:45" x14ac:dyDescent="0.25">
      <c r="B185" s="51"/>
      <c r="C185" s="156"/>
      <c r="D185" s="51"/>
      <c r="E185" s="51"/>
      <c r="G185" s="51"/>
      <c r="H185" s="51"/>
      <c r="I185" s="51"/>
      <c r="J185" s="51"/>
      <c r="K185" s="51"/>
      <c r="L185" s="51"/>
      <c r="M185" s="51"/>
      <c r="AP185" s="51"/>
      <c r="AQ185" s="51"/>
      <c r="AR185" s="51"/>
      <c r="AS185" s="51"/>
    </row>
    <row r="186" spans="2:45" x14ac:dyDescent="0.25">
      <c r="B186" s="51"/>
      <c r="C186" s="156"/>
      <c r="D186" s="51"/>
      <c r="E186" s="51"/>
      <c r="G186" s="51"/>
      <c r="H186" s="51"/>
      <c r="I186" s="51"/>
      <c r="J186" s="51"/>
      <c r="K186" s="51"/>
      <c r="L186" s="51"/>
      <c r="M186" s="51"/>
      <c r="AP186" s="51"/>
      <c r="AQ186" s="51"/>
      <c r="AR186" s="51"/>
      <c r="AS186" s="51"/>
    </row>
    <row r="187" spans="2:45" x14ac:dyDescent="0.25">
      <c r="B187" s="51"/>
      <c r="C187" s="156"/>
      <c r="D187" s="51"/>
      <c r="E187" s="51"/>
      <c r="G187" s="51"/>
      <c r="H187" s="51"/>
      <c r="I187" s="51"/>
      <c r="J187" s="51"/>
      <c r="K187" s="51"/>
      <c r="L187" s="51"/>
      <c r="M187" s="51"/>
      <c r="AP187" s="51"/>
      <c r="AQ187" s="51"/>
      <c r="AR187" s="51"/>
      <c r="AS187" s="51"/>
    </row>
    <row r="188" spans="2:45" x14ac:dyDescent="0.25">
      <c r="B188" s="51"/>
      <c r="C188" s="156"/>
      <c r="D188" s="51"/>
      <c r="E188" s="51"/>
      <c r="G188" s="51"/>
      <c r="H188" s="51"/>
      <c r="I188" s="51"/>
      <c r="J188" s="51"/>
      <c r="K188" s="51"/>
      <c r="L188" s="51"/>
      <c r="M188" s="51"/>
      <c r="AP188" s="51"/>
      <c r="AQ188" s="51"/>
      <c r="AR188" s="51"/>
      <c r="AS188" s="51"/>
    </row>
    <row r="189" spans="2:45" x14ac:dyDescent="0.25">
      <c r="B189" s="51"/>
      <c r="C189" s="156"/>
      <c r="D189" s="51"/>
      <c r="E189" s="51"/>
      <c r="G189" s="51"/>
      <c r="H189" s="51"/>
      <c r="I189" s="51"/>
      <c r="J189" s="51"/>
      <c r="K189" s="51"/>
      <c r="L189" s="51"/>
      <c r="M189" s="51"/>
      <c r="AP189" s="51"/>
      <c r="AQ189" s="51"/>
      <c r="AR189" s="51"/>
      <c r="AS189" s="51"/>
    </row>
    <row r="190" spans="2:45" x14ac:dyDescent="0.25">
      <c r="B190" s="51"/>
      <c r="C190" s="156"/>
      <c r="D190" s="51"/>
      <c r="E190" s="51"/>
      <c r="G190" s="51"/>
      <c r="H190" s="51"/>
      <c r="I190" s="51"/>
      <c r="J190" s="51"/>
      <c r="K190" s="51"/>
      <c r="L190" s="51"/>
      <c r="M190" s="51"/>
      <c r="AP190" s="51"/>
      <c r="AQ190" s="51"/>
      <c r="AR190" s="51"/>
      <c r="AS190" s="51"/>
    </row>
    <row r="191" spans="2:45" x14ac:dyDescent="0.25">
      <c r="B191" s="51"/>
      <c r="C191" s="156"/>
      <c r="D191" s="51"/>
      <c r="E191" s="51"/>
      <c r="G191" s="51"/>
      <c r="H191" s="51"/>
      <c r="I191" s="51"/>
      <c r="J191" s="51"/>
      <c r="K191" s="51"/>
      <c r="L191" s="51"/>
      <c r="M191" s="51"/>
      <c r="AP191" s="51"/>
      <c r="AQ191" s="51"/>
      <c r="AR191" s="51"/>
      <c r="AS191" s="51"/>
    </row>
    <row r="192" spans="2:45" x14ac:dyDescent="0.25">
      <c r="G192" s="51"/>
      <c r="H192" s="51"/>
      <c r="I192" s="51"/>
      <c r="J192" s="51"/>
      <c r="K192" s="51"/>
      <c r="L192" s="51"/>
      <c r="M192" s="51"/>
      <c r="AP192" s="51"/>
      <c r="AQ192" s="51"/>
      <c r="AR192" s="51"/>
      <c r="AS192" s="51"/>
    </row>
    <row r="193" spans="42:45" x14ac:dyDescent="0.25">
      <c r="AP193" s="51"/>
      <c r="AQ193" s="51"/>
      <c r="AR193" s="51"/>
      <c r="AS193" s="51"/>
    </row>
    <row r="194" spans="42:45" x14ac:dyDescent="0.25">
      <c r="AP194" s="51"/>
      <c r="AQ194" s="51"/>
      <c r="AR194" s="51"/>
      <c r="AS194" s="51"/>
    </row>
    <row r="195" spans="42:45" x14ac:dyDescent="0.25">
      <c r="AP195" s="51"/>
      <c r="AQ195" s="51"/>
      <c r="AR195" s="51"/>
      <c r="AS195" s="51"/>
    </row>
    <row r="196" spans="42:45" x14ac:dyDescent="0.25">
      <c r="AP196" s="51"/>
      <c r="AQ196" s="51"/>
      <c r="AR196" s="51"/>
      <c r="AS196" s="51"/>
    </row>
    <row r="197" spans="42:45" x14ac:dyDescent="0.25">
      <c r="AP197" s="51"/>
      <c r="AQ197" s="51"/>
      <c r="AR197" s="51"/>
      <c r="AS197" s="51"/>
    </row>
    <row r="198" spans="42:45" x14ac:dyDescent="0.25">
      <c r="AP198" s="51"/>
      <c r="AQ198" s="51"/>
      <c r="AR198" s="51"/>
      <c r="AS198" s="51"/>
    </row>
    <row r="199" spans="42:45" x14ac:dyDescent="0.25">
      <c r="AP199" s="51"/>
      <c r="AQ199" s="51"/>
      <c r="AR199" s="51"/>
      <c r="AS199" s="51"/>
    </row>
    <row r="200" spans="42:45" x14ac:dyDescent="0.25">
      <c r="AP200" s="51"/>
      <c r="AQ200" s="51"/>
      <c r="AR200" s="51"/>
      <c r="AS200" s="51"/>
    </row>
    <row r="201" spans="42:45" x14ac:dyDescent="0.25">
      <c r="AP201" s="51"/>
      <c r="AQ201" s="51"/>
      <c r="AR201" s="51"/>
      <c r="AS201" s="51"/>
    </row>
    <row r="202" spans="42:45" x14ac:dyDescent="0.25">
      <c r="AP202" s="51"/>
      <c r="AQ202" s="51"/>
      <c r="AR202" s="51"/>
      <c r="AS202" s="51"/>
    </row>
  </sheetData>
  <mergeCells count="20">
    <mergeCell ref="B16:C16"/>
    <mergeCell ref="B15:C15"/>
    <mergeCell ref="B14:C14"/>
    <mergeCell ref="B17:C17"/>
    <mergeCell ref="G14:K14"/>
    <mergeCell ref="B2:M2"/>
    <mergeCell ref="B11:C11"/>
    <mergeCell ref="B13:C13"/>
    <mergeCell ref="B12:C12"/>
    <mergeCell ref="B9:C9"/>
    <mergeCell ref="B10:C10"/>
    <mergeCell ref="G3:M3"/>
    <mergeCell ref="B4:C4"/>
    <mergeCell ref="B5:C5"/>
    <mergeCell ref="B3:C3"/>
    <mergeCell ref="B8:C8"/>
    <mergeCell ref="B7:C7"/>
    <mergeCell ref="B6:E6"/>
    <mergeCell ref="G9:M9"/>
    <mergeCell ref="K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>
    <tabColor theme="7"/>
  </sheetPr>
  <dimension ref="A1:AG57"/>
  <sheetViews>
    <sheetView zoomScale="80" zoomScaleNormal="80" workbookViewId="0">
      <selection activeCell="D18" sqref="D18"/>
    </sheetView>
  </sheetViews>
  <sheetFormatPr defaultRowHeight="15" x14ac:dyDescent="0.25"/>
  <cols>
    <col min="1" max="1" width="30.140625" style="2" customWidth="1"/>
    <col min="2" max="2" width="16.42578125" style="2" customWidth="1"/>
    <col min="3" max="3" width="51.140625" style="2" customWidth="1"/>
    <col min="4" max="4" width="6.42578125" style="2" customWidth="1"/>
    <col min="5" max="5" width="7.5703125" style="2" customWidth="1"/>
    <col min="6" max="6" width="13.85546875" style="2" customWidth="1"/>
    <col min="7" max="7" width="16.5703125" style="2" customWidth="1"/>
    <col min="8" max="8" width="14.140625" style="2" customWidth="1"/>
    <col min="9" max="9" width="13.85546875" style="2" customWidth="1"/>
    <col min="10" max="10" width="16" style="2" customWidth="1"/>
    <col min="11" max="11" width="19" style="2" bestFit="1" customWidth="1"/>
    <col min="12" max="12" width="11.85546875" style="2" customWidth="1"/>
    <col min="13" max="13" width="14.42578125" style="2" customWidth="1"/>
    <col min="14" max="14" width="10.28515625" style="2" bestFit="1" customWidth="1"/>
    <col min="15" max="15" width="11.85546875" style="2" bestFit="1" customWidth="1"/>
    <col min="16" max="16384" width="9.140625" style="2"/>
  </cols>
  <sheetData>
    <row r="1" spans="1:33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5" customHeight="1" thickTop="1" x14ac:dyDescent="0.25">
      <c r="A2" s="3"/>
      <c r="B2" s="476" t="s">
        <v>212</v>
      </c>
      <c r="C2" s="477"/>
      <c r="D2" s="477"/>
      <c r="E2" s="477"/>
      <c r="F2" s="477"/>
      <c r="G2" s="477"/>
      <c r="H2" s="477"/>
      <c r="I2" s="477"/>
      <c r="J2" s="478"/>
      <c r="K2" s="158"/>
      <c r="L2" s="158"/>
      <c r="M2" s="159"/>
      <c r="N2" s="4"/>
      <c r="O2" s="4"/>
      <c r="P2" s="4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33.75" x14ac:dyDescent="0.25">
      <c r="A3" s="3"/>
      <c r="B3" s="12"/>
      <c r="C3" s="13" t="s">
        <v>151</v>
      </c>
      <c r="D3" s="13" t="s">
        <v>101</v>
      </c>
      <c r="E3" s="13" t="s">
        <v>4</v>
      </c>
      <c r="F3" s="13" t="s">
        <v>161</v>
      </c>
      <c r="G3" s="13" t="s">
        <v>162</v>
      </c>
      <c r="H3" s="13" t="s">
        <v>163</v>
      </c>
      <c r="I3" s="13" t="s">
        <v>164</v>
      </c>
      <c r="J3" s="15" t="s">
        <v>165</v>
      </c>
      <c r="K3" s="4"/>
      <c r="L3" s="4"/>
      <c r="M3" s="5"/>
      <c r="N3" s="4"/>
      <c r="O3" s="4"/>
      <c r="P3" s="4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25">
      <c r="A4" s="3"/>
      <c r="B4" s="482" t="s">
        <v>167</v>
      </c>
      <c r="C4" s="160" t="str">
        <f>ΔΕΔΟΜΕΝΑ!F5</f>
        <v>Φωτιστικά σώματα τύπου σφαίρας ή φανάρι επί χαμηλού ιστού 70W</v>
      </c>
      <c r="D4" s="161">
        <v>25</v>
      </c>
      <c r="E4" s="161">
        <f>ΔΕΔΟΜΕΝΑ!H5</f>
        <v>500</v>
      </c>
      <c r="F4" s="371">
        <f>ΔΕΔΟΜΕΝΑ!G5</f>
        <v>82.352941176470594</v>
      </c>
      <c r="G4" s="161">
        <f t="shared" ref="G4:G9" si="0">F4*E4</f>
        <v>41176.470588235294</v>
      </c>
      <c r="H4" s="485">
        <f>((G4+G5+G6+G7+G8+G9+G10+G11)/1000)*'ΠΑΡΑΔΟΧΕΣ '!M8</f>
        <v>9266.9500000000007</v>
      </c>
      <c r="I4" s="485">
        <f>H4*'ΠΑΡΑΔΟΧΕΣ '!E3</f>
        <v>3382436.7500000005</v>
      </c>
      <c r="J4" s="479">
        <f>I4*'ΠΑΡΑΔΟΧΕΣ '!D3</f>
        <v>40589241.000000007</v>
      </c>
      <c r="K4" s="4"/>
      <c r="L4" s="4"/>
      <c r="M4" s="5"/>
      <c r="N4" s="4"/>
      <c r="O4" s="4"/>
      <c r="P4" s="4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A5" s="3"/>
      <c r="B5" s="483"/>
      <c r="C5" s="359" t="str">
        <f>ΔΕΔΟΜΕΝΑ!F6</f>
        <v>Φωτιστικά σώματα τύπου σφαίρας ή φανάρι επί χαμηλού ιστού 125W</v>
      </c>
      <c r="D5" s="162">
        <v>25</v>
      </c>
      <c r="E5" s="162">
        <f>ΔΕΔΟΜΕΝΑ!H6</f>
        <v>109</v>
      </c>
      <c r="F5" s="370">
        <f>ΔΕΔΟΜΕΝΑ!G6</f>
        <v>147.05882352941177</v>
      </c>
      <c r="G5" s="162">
        <f t="shared" si="0"/>
        <v>16029.411764705883</v>
      </c>
      <c r="H5" s="486"/>
      <c r="I5" s="486"/>
      <c r="J5" s="480"/>
      <c r="K5" s="4"/>
      <c r="L5" s="4"/>
      <c r="M5" s="5"/>
      <c r="N5" s="4"/>
      <c r="O5" s="4"/>
      <c r="P5" s="4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3"/>
      <c r="B6" s="483"/>
      <c r="C6" s="359" t="str">
        <f>ΔΕΔΟΜΕΝΑ!F7</f>
        <v>Φωτιστικά σώματα τύπου σφαίρας ή φανάρι επί χαμηλού ιστού 250W</v>
      </c>
      <c r="D6" s="162">
        <v>25</v>
      </c>
      <c r="E6" s="162">
        <f>ΔΕΔΟΜΕΝΑ!H7</f>
        <v>294</v>
      </c>
      <c r="F6" s="370">
        <f>ΔΕΔΟΜΕΝΑ!G7</f>
        <v>294.11764705882354</v>
      </c>
      <c r="G6" s="162">
        <f t="shared" si="0"/>
        <v>86470.588235294126</v>
      </c>
      <c r="H6" s="486"/>
      <c r="I6" s="486"/>
      <c r="J6" s="480"/>
      <c r="K6" s="4"/>
      <c r="L6" s="4"/>
      <c r="M6" s="5"/>
      <c r="N6" s="4"/>
      <c r="O6" s="4"/>
      <c r="P6" s="4"/>
      <c r="Q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3"/>
      <c r="B7" s="483"/>
      <c r="C7" s="359" t="str">
        <f>ΔΕΔΟΜΕΝΑ!F8</f>
        <v>Φωτιστικά σώματα οδοφωτισμού επί ιστού ΔΕΗ ή ποδηλατόδρομου 125W</v>
      </c>
      <c r="D7" s="162">
        <v>25</v>
      </c>
      <c r="E7" s="162">
        <f>ΔΕΔΟΜΕΝΑ!H8</f>
        <v>3284</v>
      </c>
      <c r="F7" s="370">
        <f>ΔΕΔΟΜΕΝΑ!G8</f>
        <v>147.05882352941177</v>
      </c>
      <c r="G7" s="162">
        <f t="shared" si="0"/>
        <v>482941.17647058825</v>
      </c>
      <c r="H7" s="486"/>
      <c r="I7" s="486"/>
      <c r="J7" s="480"/>
      <c r="K7" s="4"/>
      <c r="L7" s="4"/>
      <c r="M7" s="5"/>
      <c r="N7" s="4"/>
      <c r="O7" s="4"/>
      <c r="P7" s="4"/>
      <c r="Q7" s="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5">
      <c r="A8" s="3"/>
      <c r="B8" s="483"/>
      <c r="C8" s="359" t="str">
        <f>ΔΕΔΟΜΕΝΑ!F9</f>
        <v>Φωτιστικά σώματα οδοφωτισμού επί ψήλου ιστού 250W</v>
      </c>
      <c r="D8" s="162">
        <v>25</v>
      </c>
      <c r="E8" s="162">
        <f>ΔΕΔΟΜΕΝΑ!H9</f>
        <v>10</v>
      </c>
      <c r="F8" s="370">
        <f>ΔΕΔΟΜΕΝΑ!G9</f>
        <v>294.11764705882354</v>
      </c>
      <c r="G8" s="162">
        <f t="shared" si="0"/>
        <v>2941.1764705882351</v>
      </c>
      <c r="H8" s="486"/>
      <c r="I8" s="486"/>
      <c r="J8" s="480"/>
      <c r="K8" s="4"/>
      <c r="L8" s="4"/>
      <c r="M8" s="5"/>
      <c r="N8" s="4"/>
      <c r="O8" s="4"/>
      <c r="P8" s="4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3"/>
      <c r="B9" s="483"/>
      <c r="C9" s="359" t="str">
        <f>ΔΕΔΟΜΕΝΑ!F10</f>
        <v>Φωτιστικά σώματα οδοφωτισμού επί ψήλου ιστού 400W</v>
      </c>
      <c r="D9" s="162">
        <v>25</v>
      </c>
      <c r="E9" s="162">
        <f>ΔΕΔΟΜΕΝΑ!H10</f>
        <v>317</v>
      </c>
      <c r="F9" s="370">
        <f>ΔΕΔΟΜΕΝΑ!G10</f>
        <v>470.58823529411768</v>
      </c>
      <c r="G9" s="162">
        <f t="shared" si="0"/>
        <v>149176.4705882353</v>
      </c>
      <c r="H9" s="486"/>
      <c r="I9" s="486"/>
      <c r="J9" s="480"/>
      <c r="K9" s="4"/>
      <c r="L9" s="4"/>
      <c r="M9" s="5"/>
      <c r="N9" s="4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3"/>
      <c r="B10" s="483"/>
      <c r="C10" s="359"/>
      <c r="D10" s="162"/>
      <c r="E10" s="162"/>
      <c r="F10" s="370"/>
      <c r="G10" s="162"/>
      <c r="H10" s="486"/>
      <c r="I10" s="486"/>
      <c r="J10" s="480"/>
      <c r="K10" s="4"/>
      <c r="L10" s="4"/>
      <c r="M10" s="5"/>
      <c r="N10" s="4"/>
      <c r="O10" s="4"/>
      <c r="P10" s="4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5">
      <c r="A11" s="3"/>
      <c r="B11" s="484"/>
      <c r="C11" s="360"/>
      <c r="D11" s="163"/>
      <c r="E11" s="163"/>
      <c r="F11" s="163"/>
      <c r="G11" s="163"/>
      <c r="H11" s="487"/>
      <c r="I11" s="487"/>
      <c r="J11" s="481"/>
      <c r="K11" s="4"/>
      <c r="L11" s="4"/>
      <c r="M11" s="5"/>
      <c r="N11" s="4"/>
      <c r="O11" s="4"/>
      <c r="P11" s="4"/>
      <c r="Q11" s="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5">
      <c r="A12" s="3"/>
      <c r="B12" s="482" t="s">
        <v>166</v>
      </c>
      <c r="C12" s="160" t="str">
        <f>ΔΕΔΟΜΕΝΑ!C23</f>
        <v>Λαμπτήρας LED ≤ 30W</v>
      </c>
      <c r="D12" s="161">
        <v>30</v>
      </c>
      <c r="E12" s="161">
        <f>ΔΕΔΟΜΕΝΑ!H5</f>
        <v>500</v>
      </c>
      <c r="F12" s="161">
        <f>D12</f>
        <v>30</v>
      </c>
      <c r="G12" s="161">
        <f>E12*F12</f>
        <v>15000</v>
      </c>
      <c r="H12" s="485">
        <f>(G12+G13+G14+G16+G15+G17+G18+G19+G20)/1000*'ΠΑΡΑΔΟΧΕΣ '!M8</f>
        <v>3476.1685000000002</v>
      </c>
      <c r="I12" s="485">
        <f>H12*'ΠΑΡΑΔΟΧΕΣ '!E3</f>
        <v>1268801.5025000002</v>
      </c>
      <c r="J12" s="479">
        <f>I12*'ΠΑΡΑΔΟΧΕΣ '!D3</f>
        <v>15225618.030000001</v>
      </c>
      <c r="K12" s="4"/>
      <c r="L12" s="4"/>
      <c r="M12" s="5"/>
      <c r="N12" s="4"/>
      <c r="O12" s="4"/>
      <c r="P12" s="4"/>
      <c r="Q12" s="4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5" customHeight="1" x14ac:dyDescent="0.25">
      <c r="A13" s="3"/>
      <c r="B13" s="483"/>
      <c r="C13" s="399" t="str">
        <f>ΔΕΔΟΜΕΝΑ!C24</f>
        <v>Λαμπτήρας LED ≤ 55W</v>
      </c>
      <c r="D13" s="162">
        <v>55</v>
      </c>
      <c r="E13" s="162">
        <f>ΔΕΔΟΜΕΝΑ!H6</f>
        <v>109</v>
      </c>
      <c r="F13" s="162">
        <f t="shared" ref="F13:F17" si="1">D13</f>
        <v>55</v>
      </c>
      <c r="G13" s="162">
        <f t="shared" ref="G13:G17" si="2">E13*F13</f>
        <v>5995</v>
      </c>
      <c r="H13" s="486"/>
      <c r="I13" s="486"/>
      <c r="J13" s="480"/>
      <c r="K13" s="4"/>
      <c r="L13" s="4"/>
      <c r="M13" s="5"/>
      <c r="N13" s="4"/>
      <c r="O13" s="4"/>
      <c r="P13" s="4"/>
      <c r="Q13" s="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3"/>
      <c r="B14" s="483"/>
      <c r="C14" s="399" t="str">
        <f>ΔΕΔΟΜΕΝΑ!C25</f>
        <v>Λαμπτήρας LED ≤ 110W</v>
      </c>
      <c r="D14" s="162">
        <v>110</v>
      </c>
      <c r="E14" s="162">
        <f>ΔΕΔΟΜΕΝΑ!H7</f>
        <v>294</v>
      </c>
      <c r="F14" s="162">
        <f t="shared" si="1"/>
        <v>110</v>
      </c>
      <c r="G14" s="162">
        <f t="shared" si="2"/>
        <v>32340</v>
      </c>
      <c r="H14" s="486"/>
      <c r="I14" s="486"/>
      <c r="J14" s="480"/>
      <c r="K14" s="4"/>
      <c r="L14" s="4"/>
      <c r="M14" s="5"/>
      <c r="N14" s="4"/>
      <c r="O14" s="4"/>
      <c r="P14" s="4"/>
      <c r="Q14" s="4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3"/>
      <c r="B15" s="483"/>
      <c r="C15" s="399" t="str">
        <f>ΔΕΔΟΜΕΝΑ!C26</f>
        <v>Λαμπτήρας LED ≤ 55W</v>
      </c>
      <c r="D15" s="162">
        <v>55</v>
      </c>
      <c r="E15" s="162">
        <f>ΔΕΔΟΜΕΝΑ!H8</f>
        <v>3284</v>
      </c>
      <c r="F15" s="162">
        <f t="shared" si="1"/>
        <v>55</v>
      </c>
      <c r="G15" s="162">
        <f t="shared" si="2"/>
        <v>180620</v>
      </c>
      <c r="H15" s="486"/>
      <c r="I15" s="486"/>
      <c r="J15" s="480"/>
      <c r="K15" s="4"/>
      <c r="L15" s="4"/>
      <c r="M15" s="5"/>
      <c r="N15" s="4"/>
      <c r="O15" s="4"/>
      <c r="P15" s="4"/>
      <c r="Q15" s="4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"/>
      <c r="B16" s="483"/>
      <c r="C16" s="399" t="str">
        <f>ΔΕΔΟΜΕΝΑ!C27</f>
        <v>Φωτιστικό Δρόμου ≤ 110W</v>
      </c>
      <c r="D16" s="162">
        <v>110</v>
      </c>
      <c r="E16" s="162">
        <f>ΔΕΔΟΜΕΝΑ!H9</f>
        <v>10</v>
      </c>
      <c r="F16" s="162">
        <f t="shared" si="1"/>
        <v>110</v>
      </c>
      <c r="G16" s="162">
        <f t="shared" si="2"/>
        <v>1100</v>
      </c>
      <c r="H16" s="486"/>
      <c r="I16" s="486"/>
      <c r="J16" s="480"/>
      <c r="K16" s="4"/>
      <c r="L16" s="4"/>
      <c r="M16" s="5"/>
      <c r="N16" s="4"/>
      <c r="O16" s="4"/>
      <c r="P16" s="4"/>
      <c r="Q16" s="4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3"/>
      <c r="B17" s="483"/>
      <c r="C17" s="399" t="str">
        <f>ΔΕΔΟΜΕΝΑ!C28</f>
        <v>Φωτιστικό Δρόμου ≤ 180W</v>
      </c>
      <c r="D17" s="162">
        <v>180</v>
      </c>
      <c r="E17" s="162">
        <f>ΔΕΔΟΜΕΝΑ!H10</f>
        <v>317</v>
      </c>
      <c r="F17" s="162">
        <f t="shared" si="1"/>
        <v>180</v>
      </c>
      <c r="G17" s="162">
        <f t="shared" si="2"/>
        <v>57060</v>
      </c>
      <c r="H17" s="486"/>
      <c r="I17" s="486"/>
      <c r="J17" s="480"/>
      <c r="K17" s="4"/>
      <c r="L17" s="4"/>
      <c r="M17" s="5"/>
      <c r="N17" s="4"/>
      <c r="O17" s="4"/>
      <c r="P17" s="4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3"/>
      <c r="B18" s="483"/>
      <c r="C18" s="399"/>
      <c r="D18" s="162"/>
      <c r="E18" s="162"/>
      <c r="F18" s="162"/>
      <c r="G18" s="162"/>
      <c r="H18" s="486"/>
      <c r="I18" s="486"/>
      <c r="J18" s="480"/>
      <c r="K18" s="4"/>
      <c r="L18" s="4"/>
      <c r="M18" s="5"/>
      <c r="N18" s="4"/>
      <c r="O18" s="4"/>
      <c r="P18" s="4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25">
      <c r="A19" s="3"/>
      <c r="B19" s="483"/>
      <c r="C19" s="380"/>
      <c r="D19" s="162"/>
      <c r="E19" s="162"/>
      <c r="F19" s="162"/>
      <c r="G19" s="162"/>
      <c r="H19" s="486"/>
      <c r="I19" s="486"/>
      <c r="J19" s="480"/>
      <c r="K19" s="4"/>
      <c r="L19" s="4"/>
      <c r="M19" s="5"/>
      <c r="N19" s="4"/>
      <c r="O19" s="4"/>
      <c r="P19" s="4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5">
      <c r="A20" s="3"/>
      <c r="B20" s="484"/>
      <c r="C20" s="360"/>
      <c r="D20" s="163"/>
      <c r="E20" s="163"/>
      <c r="F20" s="163"/>
      <c r="G20" s="163"/>
      <c r="H20" s="487"/>
      <c r="I20" s="487"/>
      <c r="J20" s="481"/>
      <c r="K20" s="4"/>
      <c r="L20" s="4"/>
      <c r="M20" s="5"/>
      <c r="N20" s="4"/>
      <c r="O20" s="4"/>
      <c r="P20" s="4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25">
      <c r="A21" s="3"/>
      <c r="B21" s="164"/>
      <c r="C21" s="4"/>
      <c r="D21" s="165"/>
      <c r="E21" s="165"/>
      <c r="F21" s="165"/>
      <c r="G21" s="474" t="s">
        <v>94</v>
      </c>
      <c r="H21" s="474"/>
      <c r="I21" s="474"/>
      <c r="J21" s="361">
        <f>I4-I12</f>
        <v>2113635.2475000005</v>
      </c>
      <c r="K21" s="4"/>
      <c r="L21" s="4"/>
      <c r="M21" s="5"/>
      <c r="N21" s="4"/>
      <c r="O21" s="4"/>
      <c r="P21" s="4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5">
      <c r="A22" s="3"/>
      <c r="B22" s="74"/>
      <c r="C22" s="85"/>
      <c r="D22" s="85"/>
      <c r="E22" s="85"/>
      <c r="F22" s="85"/>
      <c r="G22" s="474" t="s">
        <v>95</v>
      </c>
      <c r="H22" s="474"/>
      <c r="I22" s="474"/>
      <c r="J22" s="17">
        <f>J21*'ΠΑΡΑΔΟΧΕΣ '!E9</f>
        <v>312606.65310525009</v>
      </c>
      <c r="K22" s="4"/>
      <c r="L22" s="4"/>
      <c r="M22" s="5"/>
      <c r="N22" s="4"/>
      <c r="O22" s="4"/>
      <c r="P22" s="4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5">
      <c r="A23" s="3"/>
      <c r="B23" s="74"/>
      <c r="C23" s="4"/>
      <c r="D23" s="4"/>
      <c r="E23" s="4"/>
      <c r="F23" s="4"/>
      <c r="G23" s="475" t="s">
        <v>114</v>
      </c>
      <c r="H23" s="475"/>
      <c r="I23" s="166" t="s">
        <v>1</v>
      </c>
      <c r="J23" s="167">
        <f>J22+ΔΕΔΟΜΕΝΑ!F21-ΔΕΔΟΜΕΝΑ!J21</f>
        <v>332394.15310525009</v>
      </c>
      <c r="K23" s="4"/>
      <c r="L23" s="4"/>
      <c r="M23" s="5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4.25" customHeight="1" thickBot="1" x14ac:dyDescent="0.3">
      <c r="A24" s="3"/>
      <c r="B24" s="82"/>
      <c r="C24" s="83"/>
      <c r="D24" s="83"/>
      <c r="E24" s="83"/>
      <c r="F24" s="83"/>
      <c r="G24" s="83"/>
      <c r="H24" s="83"/>
      <c r="I24" s="168" t="s">
        <v>100</v>
      </c>
      <c r="J24" s="169">
        <f>J21*'ΠΑΡΑΔΟΧΕΣ '!E17</f>
        <v>1099090.3287000004</v>
      </c>
      <c r="K24" s="83"/>
      <c r="L24" s="83"/>
      <c r="M24" s="8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5.75" thickTop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5">
      <c r="A26" s="3"/>
      <c r="B26" s="3"/>
      <c r="C26" s="3"/>
      <c r="D26" s="3"/>
      <c r="E26" s="3" t="s">
        <v>127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5">
      <c r="A27" s="3"/>
      <c r="B27" s="3"/>
      <c r="C27" s="3"/>
      <c r="D27" s="3"/>
      <c r="E27" s="3"/>
      <c r="F27" s="3"/>
      <c r="G27" s="3"/>
      <c r="H27" s="3"/>
      <c r="I27" s="3"/>
      <c r="J27" s="170" t="s">
        <v>127</v>
      </c>
      <c r="K27" s="3"/>
      <c r="L27" s="3"/>
      <c r="M27" s="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5">
      <c r="A28" s="4"/>
      <c r="B28" s="3"/>
      <c r="C28" s="3"/>
      <c r="D28" s="3"/>
      <c r="E28" s="3"/>
      <c r="F28" s="3"/>
      <c r="G28" s="3"/>
      <c r="H28" s="3"/>
      <c r="I28" s="3"/>
      <c r="J28" s="3"/>
      <c r="K28" s="4"/>
      <c r="L28" s="4"/>
      <c r="M28" s="4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5">
      <c r="A29" s="4"/>
      <c r="B29" s="3"/>
      <c r="C29" s="3"/>
      <c r="D29" s="3"/>
      <c r="E29" s="3"/>
      <c r="F29" s="170" t="s">
        <v>127</v>
      </c>
      <c r="G29" s="3"/>
      <c r="H29" s="3"/>
      <c r="I29" s="3"/>
      <c r="J29" s="3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5">
      <c r="A30" s="4"/>
      <c r="B30" s="3"/>
      <c r="C30" s="3"/>
      <c r="D30" s="3"/>
      <c r="E30" s="3"/>
      <c r="F30" s="3"/>
      <c r="G30" s="3"/>
      <c r="H30" s="21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5">
      <c r="A31" s="4"/>
      <c r="B31" s="3"/>
      <c r="C31" s="3"/>
      <c r="D31" s="3"/>
      <c r="E31" s="3"/>
      <c r="F31" s="3"/>
      <c r="G31" s="3"/>
      <c r="H31" s="17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</sheetData>
  <mergeCells count="12">
    <mergeCell ref="G21:I21"/>
    <mergeCell ref="G22:I22"/>
    <mergeCell ref="G23:H23"/>
    <mergeCell ref="B2:J2"/>
    <mergeCell ref="J4:J11"/>
    <mergeCell ref="B12:B20"/>
    <mergeCell ref="H12:H20"/>
    <mergeCell ref="I12:I20"/>
    <mergeCell ref="J12:J20"/>
    <mergeCell ref="B4:B11"/>
    <mergeCell ref="H4:H11"/>
    <mergeCell ref="I4:I1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5">
    <tabColor theme="7"/>
  </sheetPr>
  <dimension ref="A1:AD216"/>
  <sheetViews>
    <sheetView zoomScale="94" zoomScaleNormal="94" workbookViewId="0">
      <selection activeCell="D5" sqref="D5"/>
    </sheetView>
  </sheetViews>
  <sheetFormatPr defaultRowHeight="15" x14ac:dyDescent="0.25"/>
  <cols>
    <col min="1" max="1" width="31" style="51" customWidth="1"/>
    <col min="2" max="2" width="49.42578125" style="26" customWidth="1"/>
    <col min="3" max="3" width="9" style="26" bestFit="1" customWidth="1"/>
    <col min="4" max="4" width="15.42578125" style="26" bestFit="1" customWidth="1"/>
    <col min="5" max="5" width="18.42578125" style="26" bestFit="1" customWidth="1"/>
    <col min="6" max="9" width="9.140625" style="51"/>
    <col min="10" max="16384" width="9.140625" style="26"/>
  </cols>
  <sheetData>
    <row r="1" spans="1:30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" customHeight="1" thickTop="1" x14ac:dyDescent="0.25">
      <c r="A2" s="3"/>
      <c r="B2" s="488" t="s">
        <v>201</v>
      </c>
      <c r="C2" s="489"/>
      <c r="D2" s="489"/>
      <c r="E2" s="49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3"/>
      <c r="B3" s="491"/>
      <c r="C3" s="492"/>
      <c r="D3" s="492"/>
      <c r="E3" s="49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5">
      <c r="A4" s="3"/>
      <c r="B4" s="27"/>
      <c r="C4" s="28" t="s">
        <v>11</v>
      </c>
      <c r="D4" s="28" t="s">
        <v>10</v>
      </c>
      <c r="E4" s="29" t="s">
        <v>12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/>
      <c r="B5" s="30" t="str">
        <f>ΔΕΔΟΜΕΝΑ!C23</f>
        <v>Λαμπτήρας LED ≤ 30W</v>
      </c>
      <c r="C5" s="31">
        <f>ΔΕΔΟΜΕΝΑ!H5</f>
        <v>500</v>
      </c>
      <c r="D5" s="32">
        <f>ΔΕΔΟΜΕΝΑ!E23</f>
        <v>90</v>
      </c>
      <c r="E5" s="33">
        <f>C5*D5</f>
        <v>45000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3"/>
      <c r="B6" s="30" t="str">
        <f>ΔΕΔΟΜΕΝΑ!C24</f>
        <v>Λαμπτήρας LED ≤ 55W</v>
      </c>
      <c r="C6" s="31">
        <f>ΔΕΔΟΜΕΝΑ!H6</f>
        <v>109</v>
      </c>
      <c r="D6" s="32">
        <f>ΔΕΔΟΜΕΝΑ!E24</f>
        <v>120</v>
      </c>
      <c r="E6" s="33">
        <f t="shared" ref="E6:E10" si="0">C6*D6</f>
        <v>13080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3"/>
      <c r="B7" s="30" t="str">
        <f>ΔΕΔΟΜΕΝΑ!C25</f>
        <v>Λαμπτήρας LED ≤ 110W</v>
      </c>
      <c r="C7" s="31">
        <f>ΔΕΔΟΜΕΝΑ!H7</f>
        <v>294</v>
      </c>
      <c r="D7" s="32">
        <f>ΔΕΔΟΜΕΝΑ!E25</f>
        <v>150</v>
      </c>
      <c r="E7" s="33">
        <f t="shared" si="0"/>
        <v>44100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3"/>
      <c r="B8" s="30" t="str">
        <f>ΔΕΔΟΜΕΝΑ!C26</f>
        <v>Λαμπτήρας LED ≤ 55W</v>
      </c>
      <c r="C8" s="31">
        <f>ΔΕΔΟΜΕΝΑ!H8</f>
        <v>3284</v>
      </c>
      <c r="D8" s="32">
        <f>ΔΕΔΟΜΕΝΑ!E26</f>
        <v>320</v>
      </c>
      <c r="E8" s="33">
        <f t="shared" si="0"/>
        <v>1050880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3"/>
      <c r="B9" s="30" t="str">
        <f>ΔΕΔΟΜΕΝΑ!C27</f>
        <v>Φωτιστικό Δρόμου ≤ 110W</v>
      </c>
      <c r="C9" s="31">
        <f>ΔΕΔΟΜΕΝΑ!H9</f>
        <v>10</v>
      </c>
      <c r="D9" s="32">
        <f>ΔΕΔΟΜΕΝΑ!E27</f>
        <v>550</v>
      </c>
      <c r="E9" s="33">
        <f t="shared" si="0"/>
        <v>5500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3"/>
      <c r="B10" s="30" t="str">
        <f>ΔΕΔΟΜΕΝΑ!C28</f>
        <v>Φωτιστικό Δρόμου ≤ 180W</v>
      </c>
      <c r="C10" s="31">
        <f>ΔΕΔΟΜΕΝΑ!H10</f>
        <v>317</v>
      </c>
      <c r="D10" s="32">
        <f>ΔΕΔΟΜΕΝΑ!E28</f>
        <v>625</v>
      </c>
      <c r="E10" s="33">
        <f t="shared" si="0"/>
        <v>198125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"/>
      <c r="B11" s="30"/>
      <c r="C11" s="31"/>
      <c r="D11" s="32"/>
      <c r="E11" s="3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3"/>
      <c r="B12" s="30"/>
      <c r="C12" s="31"/>
      <c r="D12" s="32"/>
      <c r="E12" s="3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3"/>
      <c r="B13" s="34" t="s">
        <v>93</v>
      </c>
      <c r="C13" s="31">
        <f>SUM(C5:C12)</f>
        <v>4514</v>
      </c>
      <c r="D13" s="32"/>
      <c r="E13" s="35">
        <f>SUM(E5:E12)</f>
        <v>1356685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s="3"/>
      <c r="B14" s="34" t="str">
        <f>ΔΕΔΟΜΕΝΑ!F23</f>
        <v>Σύστημα Τηλεδιαχείρισης &amp; Ελέγχου (Εγκατάσταση - Εξοπλισμός)</v>
      </c>
      <c r="C14" s="31" t="s">
        <v>72</v>
      </c>
      <c r="D14" s="32"/>
      <c r="E14" s="33">
        <f>ΔΕΔΟΜΕΝΑ!G23</f>
        <v>120000</v>
      </c>
      <c r="F14" s="3"/>
      <c r="G14" s="3" t="s">
        <v>127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3"/>
      <c r="B15" s="34" t="str">
        <f>ΔΕΔΟΜΕΝΑ!F24</f>
        <v>Smart Cities (Εγκατάσταση - Εξοπλισμός)</v>
      </c>
      <c r="C15" s="31" t="s">
        <v>72</v>
      </c>
      <c r="D15" s="32"/>
      <c r="E15" s="33">
        <f>ΔΕΔΟΜΕΝΑ!G24</f>
        <v>185150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3"/>
      <c r="B16" s="34" t="s">
        <v>70</v>
      </c>
      <c r="C16" s="31" t="s">
        <v>72</v>
      </c>
      <c r="D16" s="32"/>
      <c r="E16" s="33">
        <f>ΔΕΔΟΜΕΝΑ!G25</f>
        <v>30000</v>
      </c>
      <c r="F16" s="3"/>
      <c r="G16" s="3" t="s">
        <v>127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4" customHeight="1" x14ac:dyDescent="0.25">
      <c r="A17" s="3"/>
      <c r="B17" s="36" t="s">
        <v>202</v>
      </c>
      <c r="C17" s="31"/>
      <c r="D17" s="32"/>
      <c r="E17" s="35">
        <f>SUM(E13:E16)</f>
        <v>1691835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s="3"/>
      <c r="B18" s="34" t="s">
        <v>208</v>
      </c>
      <c r="C18" s="37"/>
      <c r="D18" s="38"/>
      <c r="E18" s="39">
        <f>E21*'ΠΑΡΑΔΟΧΕΣ '!E5</f>
        <v>406040.39999999997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s="3"/>
      <c r="B19" s="36" t="s">
        <v>202</v>
      </c>
      <c r="C19" s="37"/>
      <c r="D19" s="38"/>
      <c r="E19" s="39">
        <f>E17</f>
        <v>1691835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3"/>
      <c r="B20" s="40"/>
      <c r="C20" s="41"/>
      <c r="D20" s="42"/>
      <c r="E20" s="4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3"/>
      <c r="B21" s="44" t="s">
        <v>168</v>
      </c>
      <c r="C21" s="31"/>
      <c r="D21" s="32"/>
      <c r="E21" s="45">
        <f>(E19+E20)</f>
        <v>1691835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thickBot="1" x14ac:dyDescent="0.3">
      <c r="A22" s="3"/>
      <c r="B22" s="46" t="s">
        <v>75</v>
      </c>
      <c r="C22" s="47"/>
      <c r="D22" s="48"/>
      <c r="E22" s="49">
        <f>E21+E18</f>
        <v>2097875.4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.75" thickTop="1" x14ac:dyDescent="0.25">
      <c r="A23" s="3"/>
      <c r="B23" s="50"/>
      <c r="C23" s="50"/>
      <c r="D23" s="50"/>
      <c r="E23" s="5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25">
      <c r="A141" s="26"/>
      <c r="B141" s="51"/>
      <c r="C141" s="51"/>
      <c r="D141" s="51"/>
      <c r="E141" s="51"/>
      <c r="F141" s="26"/>
      <c r="G141" s="26"/>
      <c r="H141" s="26"/>
      <c r="I141" s="26"/>
    </row>
    <row r="142" spans="1:30" x14ac:dyDescent="0.25">
      <c r="A142" s="26"/>
      <c r="B142" s="51"/>
      <c r="C142" s="51"/>
      <c r="D142" s="51"/>
      <c r="E142" s="51"/>
      <c r="F142" s="26"/>
      <c r="G142" s="26"/>
      <c r="H142" s="26"/>
      <c r="I142" s="26"/>
    </row>
    <row r="143" spans="1:30" x14ac:dyDescent="0.25">
      <c r="A143" s="26"/>
      <c r="B143" s="51"/>
      <c r="C143" s="51"/>
      <c r="D143" s="51"/>
      <c r="E143" s="51"/>
      <c r="F143" s="26"/>
      <c r="G143" s="26"/>
      <c r="H143" s="26"/>
      <c r="I143" s="26"/>
    </row>
    <row r="144" spans="1:30" x14ac:dyDescent="0.25">
      <c r="A144" s="26"/>
      <c r="B144" s="51"/>
      <c r="C144" s="51"/>
      <c r="D144" s="51"/>
      <c r="E144" s="51"/>
      <c r="F144" s="26"/>
      <c r="G144" s="26"/>
      <c r="H144" s="26"/>
      <c r="I144" s="26"/>
    </row>
    <row r="145" spans="1:9" x14ac:dyDescent="0.25">
      <c r="A145" s="26"/>
      <c r="B145" s="51"/>
      <c r="C145" s="51"/>
      <c r="D145" s="51"/>
      <c r="E145" s="51"/>
      <c r="F145" s="26"/>
      <c r="G145" s="26"/>
      <c r="H145" s="26"/>
      <c r="I145" s="26"/>
    </row>
    <row r="146" spans="1:9" x14ac:dyDescent="0.25">
      <c r="A146" s="26"/>
      <c r="B146" s="51"/>
      <c r="C146" s="51"/>
      <c r="D146" s="51"/>
      <c r="E146" s="51"/>
      <c r="F146" s="26"/>
      <c r="G146" s="26"/>
      <c r="H146" s="26"/>
      <c r="I146" s="26"/>
    </row>
    <row r="147" spans="1:9" x14ac:dyDescent="0.25">
      <c r="A147" s="26"/>
      <c r="B147" s="51"/>
      <c r="C147" s="51"/>
      <c r="D147" s="51"/>
      <c r="E147" s="51"/>
      <c r="F147" s="26"/>
      <c r="G147" s="26"/>
      <c r="H147" s="26"/>
      <c r="I147" s="26"/>
    </row>
    <row r="148" spans="1:9" x14ac:dyDescent="0.25">
      <c r="A148" s="26"/>
      <c r="B148" s="51"/>
      <c r="C148" s="51"/>
      <c r="D148" s="51"/>
      <c r="E148" s="51"/>
      <c r="F148" s="26"/>
      <c r="G148" s="26"/>
      <c r="H148" s="26"/>
      <c r="I148" s="26"/>
    </row>
    <row r="149" spans="1:9" x14ac:dyDescent="0.25">
      <c r="A149" s="26"/>
      <c r="B149" s="51"/>
      <c r="C149" s="51"/>
      <c r="D149" s="51"/>
      <c r="E149" s="51"/>
      <c r="F149" s="26"/>
      <c r="G149" s="26"/>
      <c r="H149" s="26"/>
      <c r="I149" s="26"/>
    </row>
    <row r="150" spans="1:9" x14ac:dyDescent="0.25">
      <c r="A150" s="26"/>
      <c r="B150" s="51"/>
      <c r="C150" s="51"/>
      <c r="D150" s="51"/>
      <c r="E150" s="51"/>
      <c r="F150" s="26"/>
      <c r="G150" s="26"/>
      <c r="H150" s="26"/>
      <c r="I150" s="26"/>
    </row>
    <row r="151" spans="1:9" x14ac:dyDescent="0.25">
      <c r="A151" s="26"/>
      <c r="B151" s="51"/>
      <c r="C151" s="51"/>
      <c r="D151" s="51"/>
      <c r="E151" s="51"/>
      <c r="F151" s="26"/>
      <c r="G151" s="26"/>
      <c r="H151" s="26"/>
      <c r="I151" s="26"/>
    </row>
    <row r="152" spans="1:9" x14ac:dyDescent="0.25">
      <c r="A152" s="26"/>
      <c r="B152" s="51"/>
      <c r="C152" s="51"/>
      <c r="D152" s="51"/>
      <c r="E152" s="51"/>
      <c r="F152" s="26"/>
      <c r="G152" s="26"/>
      <c r="H152" s="26"/>
      <c r="I152" s="26"/>
    </row>
    <row r="153" spans="1:9" x14ac:dyDescent="0.25">
      <c r="A153" s="26"/>
      <c r="B153" s="51"/>
      <c r="C153" s="51"/>
      <c r="D153" s="51"/>
      <c r="E153" s="51"/>
      <c r="F153" s="26"/>
      <c r="G153" s="26"/>
      <c r="H153" s="26"/>
      <c r="I153" s="26"/>
    </row>
    <row r="154" spans="1:9" x14ac:dyDescent="0.25">
      <c r="A154" s="26"/>
      <c r="B154" s="51"/>
      <c r="C154" s="51"/>
      <c r="D154" s="51"/>
      <c r="E154" s="51"/>
      <c r="F154" s="26"/>
      <c r="G154" s="26"/>
      <c r="H154" s="26"/>
      <c r="I154" s="26"/>
    </row>
    <row r="155" spans="1:9" x14ac:dyDescent="0.25">
      <c r="A155" s="26"/>
      <c r="B155" s="51"/>
      <c r="C155" s="51"/>
      <c r="D155" s="51"/>
      <c r="E155" s="51"/>
      <c r="F155" s="26"/>
      <c r="G155" s="26"/>
      <c r="H155" s="26"/>
      <c r="I155" s="26"/>
    </row>
    <row r="156" spans="1:9" x14ac:dyDescent="0.25">
      <c r="A156" s="26"/>
      <c r="B156" s="51"/>
      <c r="C156" s="51"/>
      <c r="D156" s="51"/>
      <c r="E156" s="51"/>
      <c r="F156" s="26"/>
      <c r="G156" s="26"/>
      <c r="H156" s="26"/>
      <c r="I156" s="26"/>
    </row>
    <row r="157" spans="1:9" x14ac:dyDescent="0.25">
      <c r="A157" s="26"/>
      <c r="B157" s="51"/>
      <c r="C157" s="51"/>
      <c r="D157" s="51"/>
      <c r="E157" s="51"/>
      <c r="F157" s="26"/>
      <c r="G157" s="26"/>
      <c r="H157" s="26"/>
      <c r="I157" s="26"/>
    </row>
    <row r="158" spans="1:9" x14ac:dyDescent="0.25">
      <c r="A158" s="26"/>
      <c r="B158" s="51"/>
      <c r="C158" s="51"/>
      <c r="D158" s="51"/>
      <c r="E158" s="51"/>
      <c r="F158" s="26"/>
      <c r="G158" s="26"/>
      <c r="H158" s="26"/>
      <c r="I158" s="26"/>
    </row>
    <row r="159" spans="1:9" x14ac:dyDescent="0.25">
      <c r="A159" s="26"/>
      <c r="B159" s="51"/>
      <c r="C159" s="51"/>
      <c r="D159" s="51"/>
      <c r="E159" s="51"/>
      <c r="F159" s="26"/>
      <c r="G159" s="26"/>
      <c r="H159" s="26"/>
      <c r="I159" s="26"/>
    </row>
    <row r="160" spans="1:9" x14ac:dyDescent="0.25">
      <c r="A160" s="26"/>
      <c r="B160" s="51"/>
      <c r="C160" s="51"/>
      <c r="D160" s="51"/>
      <c r="E160" s="51"/>
      <c r="F160" s="26"/>
      <c r="G160" s="26"/>
      <c r="H160" s="26"/>
      <c r="I160" s="26"/>
    </row>
    <row r="161" spans="1:9" x14ac:dyDescent="0.25">
      <c r="A161" s="26"/>
      <c r="B161" s="51"/>
      <c r="C161" s="51"/>
      <c r="D161" s="51"/>
      <c r="E161" s="51"/>
      <c r="F161" s="26"/>
      <c r="G161" s="26"/>
      <c r="H161" s="26"/>
      <c r="I161" s="26"/>
    </row>
    <row r="162" spans="1:9" x14ac:dyDescent="0.25">
      <c r="A162" s="26"/>
      <c r="B162" s="51"/>
      <c r="C162" s="51"/>
      <c r="D162" s="51"/>
      <c r="E162" s="51"/>
      <c r="F162" s="26"/>
      <c r="G162" s="26"/>
      <c r="H162" s="26"/>
      <c r="I162" s="26"/>
    </row>
    <row r="163" spans="1:9" x14ac:dyDescent="0.25">
      <c r="A163" s="26"/>
      <c r="B163" s="51"/>
      <c r="C163" s="51"/>
      <c r="D163" s="51"/>
      <c r="E163" s="51"/>
      <c r="F163" s="26"/>
      <c r="G163" s="26"/>
      <c r="H163" s="26"/>
      <c r="I163" s="26"/>
    </row>
    <row r="164" spans="1:9" x14ac:dyDescent="0.25">
      <c r="A164" s="26"/>
      <c r="B164" s="51"/>
      <c r="C164" s="51"/>
      <c r="D164" s="51"/>
      <c r="E164" s="51"/>
      <c r="F164" s="26"/>
      <c r="G164" s="26"/>
      <c r="H164" s="26"/>
      <c r="I164" s="26"/>
    </row>
    <row r="165" spans="1:9" x14ac:dyDescent="0.25">
      <c r="A165" s="26"/>
      <c r="B165" s="51"/>
      <c r="C165" s="51"/>
      <c r="D165" s="51"/>
      <c r="E165" s="51"/>
      <c r="F165" s="26"/>
      <c r="G165" s="26"/>
      <c r="H165" s="26"/>
      <c r="I165" s="26"/>
    </row>
    <row r="166" spans="1:9" x14ac:dyDescent="0.25">
      <c r="A166" s="26"/>
      <c r="B166" s="51"/>
      <c r="C166" s="51"/>
      <c r="D166" s="51"/>
      <c r="E166" s="51"/>
      <c r="F166" s="26"/>
      <c r="G166" s="26"/>
      <c r="H166" s="26"/>
      <c r="I166" s="26"/>
    </row>
    <row r="167" spans="1:9" x14ac:dyDescent="0.25">
      <c r="A167" s="26"/>
      <c r="B167" s="51"/>
      <c r="C167" s="51"/>
      <c r="D167" s="51"/>
      <c r="E167" s="51"/>
      <c r="F167" s="26"/>
      <c r="G167" s="26"/>
      <c r="H167" s="26"/>
      <c r="I167" s="26"/>
    </row>
    <row r="168" spans="1:9" x14ac:dyDescent="0.25">
      <c r="A168" s="26"/>
      <c r="B168" s="51"/>
      <c r="C168" s="51"/>
      <c r="D168" s="51"/>
      <c r="E168" s="51"/>
      <c r="F168" s="26"/>
      <c r="G168" s="26"/>
      <c r="H168" s="26"/>
      <c r="I168" s="26"/>
    </row>
    <row r="169" spans="1:9" x14ac:dyDescent="0.25">
      <c r="A169" s="26"/>
      <c r="B169" s="51"/>
      <c r="C169" s="51"/>
      <c r="D169" s="51"/>
      <c r="E169" s="51"/>
      <c r="F169" s="26"/>
      <c r="G169" s="26"/>
      <c r="H169" s="26"/>
      <c r="I169" s="26"/>
    </row>
    <row r="170" spans="1:9" x14ac:dyDescent="0.25">
      <c r="A170" s="26"/>
      <c r="B170" s="51"/>
      <c r="C170" s="51"/>
      <c r="D170" s="51"/>
      <c r="E170" s="51"/>
      <c r="F170" s="26"/>
      <c r="G170" s="26"/>
      <c r="H170" s="26"/>
      <c r="I170" s="26"/>
    </row>
    <row r="171" spans="1:9" x14ac:dyDescent="0.25">
      <c r="A171" s="26"/>
      <c r="B171" s="51"/>
      <c r="C171" s="51"/>
      <c r="D171" s="51"/>
      <c r="E171" s="51"/>
      <c r="F171" s="26"/>
      <c r="G171" s="26"/>
      <c r="H171" s="26"/>
      <c r="I171" s="26"/>
    </row>
    <row r="172" spans="1:9" x14ac:dyDescent="0.25">
      <c r="A172" s="26"/>
      <c r="B172" s="51"/>
      <c r="C172" s="51"/>
      <c r="D172" s="51"/>
      <c r="E172" s="51"/>
      <c r="F172" s="26"/>
      <c r="G172" s="26"/>
      <c r="H172" s="26"/>
      <c r="I172" s="26"/>
    </row>
    <row r="173" spans="1:9" x14ac:dyDescent="0.25">
      <c r="A173" s="26"/>
      <c r="B173" s="51"/>
      <c r="C173" s="51"/>
      <c r="D173" s="51"/>
      <c r="E173" s="51"/>
      <c r="F173" s="26"/>
      <c r="G173" s="26"/>
      <c r="H173" s="26"/>
      <c r="I173" s="26"/>
    </row>
    <row r="174" spans="1:9" x14ac:dyDescent="0.25">
      <c r="A174" s="26"/>
      <c r="B174" s="51"/>
      <c r="C174" s="51"/>
      <c r="D174" s="51"/>
      <c r="E174" s="51"/>
      <c r="F174" s="26"/>
      <c r="G174" s="26"/>
      <c r="H174" s="26"/>
      <c r="I174" s="26"/>
    </row>
    <row r="175" spans="1:9" x14ac:dyDescent="0.25">
      <c r="A175" s="26"/>
      <c r="B175" s="51"/>
      <c r="C175" s="51"/>
      <c r="D175" s="51"/>
      <c r="E175" s="51"/>
      <c r="F175" s="26"/>
      <c r="G175" s="26"/>
      <c r="H175" s="26"/>
      <c r="I175" s="26"/>
    </row>
    <row r="176" spans="1:9" x14ac:dyDescent="0.25">
      <c r="A176" s="26"/>
      <c r="B176" s="51"/>
      <c r="C176" s="51"/>
      <c r="D176" s="51"/>
      <c r="E176" s="51"/>
      <c r="F176" s="26"/>
      <c r="G176" s="26"/>
      <c r="H176" s="26"/>
      <c r="I176" s="26"/>
    </row>
    <row r="177" spans="1:9" x14ac:dyDescent="0.25">
      <c r="A177" s="26"/>
      <c r="B177" s="51"/>
      <c r="C177" s="51"/>
      <c r="D177" s="51"/>
      <c r="E177" s="51"/>
      <c r="F177" s="26"/>
      <c r="G177" s="26"/>
      <c r="H177" s="26"/>
      <c r="I177" s="26"/>
    </row>
    <row r="178" spans="1:9" x14ac:dyDescent="0.25">
      <c r="A178" s="26"/>
      <c r="B178" s="51"/>
      <c r="C178" s="51"/>
      <c r="D178" s="51"/>
      <c r="E178" s="51"/>
      <c r="F178" s="26"/>
      <c r="G178" s="26"/>
      <c r="H178" s="26"/>
      <c r="I178" s="26"/>
    </row>
    <row r="179" spans="1:9" x14ac:dyDescent="0.25">
      <c r="A179" s="26"/>
      <c r="B179" s="51"/>
      <c r="C179" s="51"/>
      <c r="D179" s="51"/>
      <c r="E179" s="51"/>
      <c r="F179" s="26"/>
      <c r="G179" s="26"/>
      <c r="H179" s="26"/>
      <c r="I179" s="26"/>
    </row>
    <row r="180" spans="1:9" x14ac:dyDescent="0.25">
      <c r="A180" s="26"/>
      <c r="B180" s="51"/>
      <c r="C180" s="51"/>
      <c r="D180" s="51"/>
      <c r="E180" s="51"/>
      <c r="F180" s="26"/>
      <c r="G180" s="26"/>
      <c r="H180" s="26"/>
      <c r="I180" s="26"/>
    </row>
    <row r="181" spans="1:9" x14ac:dyDescent="0.25">
      <c r="A181" s="26"/>
      <c r="B181" s="51"/>
      <c r="C181" s="51"/>
      <c r="D181" s="51"/>
      <c r="E181" s="51"/>
      <c r="F181" s="26"/>
      <c r="G181" s="26"/>
      <c r="H181" s="26"/>
      <c r="I181" s="26"/>
    </row>
    <row r="182" spans="1:9" x14ac:dyDescent="0.25">
      <c r="A182" s="26"/>
      <c r="B182" s="51"/>
      <c r="C182" s="51"/>
      <c r="D182" s="51"/>
      <c r="E182" s="51"/>
      <c r="F182" s="26"/>
      <c r="G182" s="26"/>
      <c r="H182" s="26"/>
      <c r="I182" s="26"/>
    </row>
    <row r="183" spans="1:9" x14ac:dyDescent="0.25">
      <c r="A183" s="26"/>
      <c r="B183" s="51"/>
      <c r="C183" s="51"/>
      <c r="D183" s="51"/>
      <c r="E183" s="51"/>
      <c r="F183" s="26"/>
      <c r="G183" s="26"/>
      <c r="H183" s="26"/>
      <c r="I183" s="26"/>
    </row>
    <row r="184" spans="1:9" x14ac:dyDescent="0.25">
      <c r="A184" s="26"/>
      <c r="B184" s="51"/>
      <c r="C184" s="51"/>
      <c r="D184" s="51"/>
      <c r="E184" s="51"/>
      <c r="F184" s="26"/>
      <c r="G184" s="26"/>
      <c r="H184" s="26"/>
      <c r="I184" s="26"/>
    </row>
    <row r="185" spans="1:9" x14ac:dyDescent="0.25">
      <c r="A185" s="26"/>
      <c r="B185" s="51"/>
      <c r="C185" s="51"/>
      <c r="D185" s="51"/>
      <c r="E185" s="51"/>
      <c r="F185" s="26"/>
      <c r="G185" s="26"/>
      <c r="H185" s="26"/>
      <c r="I185" s="26"/>
    </row>
    <row r="186" spans="1:9" x14ac:dyDescent="0.25">
      <c r="A186" s="26"/>
      <c r="B186" s="51"/>
      <c r="C186" s="51"/>
      <c r="D186" s="51"/>
      <c r="E186" s="51"/>
      <c r="F186" s="26"/>
      <c r="G186" s="26"/>
      <c r="H186" s="26"/>
      <c r="I186" s="26"/>
    </row>
    <row r="187" spans="1:9" x14ac:dyDescent="0.25">
      <c r="A187" s="26"/>
      <c r="B187" s="51"/>
      <c r="C187" s="51"/>
      <c r="D187" s="51"/>
      <c r="E187" s="51"/>
      <c r="F187" s="26"/>
      <c r="G187" s="26"/>
      <c r="H187" s="26"/>
      <c r="I187" s="26"/>
    </row>
    <row r="188" spans="1:9" x14ac:dyDescent="0.25">
      <c r="A188" s="26"/>
      <c r="B188" s="51"/>
      <c r="C188" s="51"/>
      <c r="D188" s="51"/>
      <c r="E188" s="51"/>
      <c r="F188" s="26"/>
      <c r="G188" s="26"/>
      <c r="H188" s="26"/>
      <c r="I188" s="26"/>
    </row>
    <row r="189" spans="1:9" x14ac:dyDescent="0.25">
      <c r="A189" s="26"/>
      <c r="B189" s="51"/>
      <c r="C189" s="51"/>
      <c r="D189" s="51"/>
      <c r="E189" s="51"/>
      <c r="F189" s="26"/>
      <c r="G189" s="26"/>
      <c r="H189" s="26"/>
      <c r="I189" s="26"/>
    </row>
    <row r="190" spans="1:9" x14ac:dyDescent="0.25">
      <c r="A190" s="26"/>
      <c r="B190" s="51"/>
      <c r="C190" s="51"/>
      <c r="D190" s="51"/>
      <c r="E190" s="51"/>
      <c r="F190" s="26"/>
      <c r="G190" s="26"/>
      <c r="H190" s="26"/>
      <c r="I190" s="26"/>
    </row>
    <row r="191" spans="1:9" x14ac:dyDescent="0.25">
      <c r="A191" s="26"/>
      <c r="B191" s="51"/>
      <c r="C191" s="51"/>
      <c r="D191" s="51"/>
      <c r="E191" s="51"/>
      <c r="F191" s="26"/>
      <c r="G191" s="26"/>
      <c r="H191" s="26"/>
      <c r="I191" s="26"/>
    </row>
    <row r="192" spans="1:9" x14ac:dyDescent="0.25">
      <c r="A192" s="26"/>
      <c r="B192" s="51"/>
      <c r="C192" s="51"/>
      <c r="D192" s="51"/>
      <c r="E192" s="51"/>
      <c r="F192" s="26"/>
      <c r="G192" s="26"/>
      <c r="H192" s="26"/>
      <c r="I192" s="26"/>
    </row>
    <row r="193" spans="1:9" x14ac:dyDescent="0.25">
      <c r="A193" s="26"/>
      <c r="B193" s="51"/>
      <c r="C193" s="51"/>
      <c r="D193" s="51"/>
      <c r="E193" s="51"/>
      <c r="F193" s="26"/>
      <c r="G193" s="26"/>
      <c r="H193" s="26"/>
      <c r="I193" s="26"/>
    </row>
    <row r="194" spans="1:9" x14ac:dyDescent="0.25">
      <c r="A194" s="26"/>
      <c r="B194" s="51"/>
      <c r="C194" s="51"/>
      <c r="D194" s="51"/>
      <c r="E194" s="51"/>
      <c r="F194" s="26"/>
      <c r="G194" s="26"/>
      <c r="H194" s="26"/>
      <c r="I194" s="26"/>
    </row>
    <row r="195" spans="1:9" x14ac:dyDescent="0.25">
      <c r="A195" s="26"/>
      <c r="B195" s="51"/>
      <c r="C195" s="51"/>
      <c r="D195" s="51"/>
      <c r="E195" s="51"/>
      <c r="F195" s="26"/>
      <c r="G195" s="26"/>
      <c r="H195" s="26"/>
      <c r="I195" s="26"/>
    </row>
    <row r="196" spans="1:9" x14ac:dyDescent="0.25">
      <c r="A196" s="26"/>
      <c r="B196" s="51"/>
      <c r="C196" s="51"/>
      <c r="D196" s="51"/>
      <c r="E196" s="51"/>
      <c r="F196" s="26"/>
      <c r="G196" s="26"/>
      <c r="H196" s="26"/>
      <c r="I196" s="26"/>
    </row>
    <row r="197" spans="1:9" x14ac:dyDescent="0.25">
      <c r="A197" s="26"/>
      <c r="B197" s="51"/>
      <c r="C197" s="51"/>
      <c r="D197" s="51"/>
      <c r="E197" s="51"/>
      <c r="F197" s="26"/>
      <c r="G197" s="26"/>
      <c r="H197" s="26"/>
      <c r="I197" s="26"/>
    </row>
    <row r="198" spans="1:9" x14ac:dyDescent="0.25">
      <c r="A198" s="26"/>
      <c r="B198" s="51"/>
      <c r="C198" s="51"/>
      <c r="D198" s="51"/>
      <c r="E198" s="51"/>
      <c r="F198" s="26"/>
      <c r="G198" s="26"/>
      <c r="H198" s="26"/>
      <c r="I198" s="26"/>
    </row>
    <row r="199" spans="1:9" x14ac:dyDescent="0.25">
      <c r="A199" s="26"/>
      <c r="B199" s="51"/>
      <c r="C199" s="51"/>
      <c r="D199" s="51"/>
      <c r="E199" s="51"/>
      <c r="F199" s="26"/>
      <c r="G199" s="26"/>
      <c r="H199" s="26"/>
      <c r="I199" s="26"/>
    </row>
    <row r="200" spans="1:9" x14ac:dyDescent="0.25">
      <c r="A200" s="26"/>
      <c r="B200" s="51"/>
      <c r="C200" s="51"/>
      <c r="D200" s="51"/>
      <c r="E200" s="51"/>
      <c r="F200" s="26"/>
      <c r="G200" s="26"/>
      <c r="H200" s="26"/>
      <c r="I200" s="26"/>
    </row>
    <row r="201" spans="1:9" x14ac:dyDescent="0.25">
      <c r="A201" s="26"/>
      <c r="B201" s="51"/>
      <c r="C201" s="51"/>
      <c r="D201" s="51"/>
      <c r="E201" s="51"/>
      <c r="F201" s="26"/>
      <c r="G201" s="26"/>
      <c r="H201" s="26"/>
      <c r="I201" s="26"/>
    </row>
    <row r="202" spans="1:9" x14ac:dyDescent="0.25">
      <c r="A202" s="26"/>
      <c r="B202" s="51"/>
      <c r="C202" s="51"/>
      <c r="D202" s="51"/>
      <c r="E202" s="51"/>
      <c r="F202" s="26"/>
      <c r="G202" s="26"/>
      <c r="H202" s="26"/>
      <c r="I202" s="26"/>
    </row>
    <row r="203" spans="1:9" x14ac:dyDescent="0.25">
      <c r="A203" s="26"/>
      <c r="B203" s="51"/>
      <c r="C203" s="51"/>
      <c r="D203" s="51"/>
      <c r="E203" s="51"/>
      <c r="F203" s="26"/>
      <c r="G203" s="26"/>
      <c r="H203" s="26"/>
      <c r="I203" s="26"/>
    </row>
    <row r="204" spans="1:9" x14ac:dyDescent="0.25">
      <c r="A204" s="26"/>
      <c r="B204" s="51"/>
      <c r="C204" s="51"/>
      <c r="D204" s="51"/>
      <c r="E204" s="51"/>
      <c r="F204" s="26"/>
      <c r="G204" s="26"/>
      <c r="H204" s="26"/>
      <c r="I204" s="26"/>
    </row>
    <row r="205" spans="1:9" x14ac:dyDescent="0.25">
      <c r="A205" s="26"/>
      <c r="B205" s="51"/>
      <c r="C205" s="51"/>
      <c r="D205" s="51"/>
      <c r="E205" s="51"/>
      <c r="F205" s="26"/>
      <c r="G205" s="26"/>
      <c r="H205" s="26"/>
      <c r="I205" s="26"/>
    </row>
    <row r="206" spans="1:9" x14ac:dyDescent="0.25">
      <c r="A206" s="26"/>
      <c r="B206" s="51"/>
      <c r="C206" s="51"/>
      <c r="D206" s="51"/>
      <c r="E206" s="51"/>
      <c r="F206" s="26"/>
      <c r="G206" s="26"/>
      <c r="H206" s="26"/>
      <c r="I206" s="26"/>
    </row>
    <row r="207" spans="1:9" x14ac:dyDescent="0.25">
      <c r="A207" s="26"/>
      <c r="B207" s="51"/>
      <c r="C207" s="51"/>
      <c r="D207" s="51"/>
      <c r="E207" s="51"/>
      <c r="F207" s="26"/>
      <c r="G207" s="26"/>
      <c r="H207" s="26"/>
      <c r="I207" s="26"/>
    </row>
    <row r="208" spans="1:9" x14ac:dyDescent="0.25">
      <c r="A208" s="26"/>
      <c r="B208" s="51"/>
      <c r="C208" s="51"/>
      <c r="D208" s="51"/>
      <c r="E208" s="51"/>
      <c r="F208" s="26"/>
      <c r="G208" s="26"/>
      <c r="H208" s="26"/>
      <c r="I208" s="26"/>
    </row>
    <row r="209" spans="1:9" x14ac:dyDescent="0.25">
      <c r="A209" s="26"/>
      <c r="B209" s="51"/>
      <c r="C209" s="51"/>
      <c r="D209" s="51"/>
      <c r="E209" s="51"/>
      <c r="F209" s="26"/>
      <c r="G209" s="26"/>
      <c r="H209" s="26"/>
      <c r="I209" s="26"/>
    </row>
    <row r="210" spans="1:9" x14ac:dyDescent="0.25">
      <c r="A210" s="26"/>
      <c r="B210" s="51"/>
      <c r="C210" s="51"/>
      <c r="D210" s="51"/>
      <c r="E210" s="51"/>
      <c r="F210" s="26"/>
      <c r="G210" s="26"/>
      <c r="H210" s="26"/>
      <c r="I210" s="26"/>
    </row>
    <row r="211" spans="1:9" x14ac:dyDescent="0.25">
      <c r="A211" s="26"/>
      <c r="B211" s="51"/>
      <c r="C211" s="51"/>
      <c r="D211" s="51"/>
      <c r="E211" s="51"/>
      <c r="F211" s="26"/>
      <c r="G211" s="26"/>
      <c r="H211" s="26"/>
      <c r="I211" s="26"/>
    </row>
    <row r="212" spans="1:9" x14ac:dyDescent="0.25">
      <c r="A212" s="26"/>
      <c r="B212" s="51"/>
      <c r="C212" s="51"/>
      <c r="D212" s="51"/>
      <c r="E212" s="51"/>
      <c r="F212" s="26"/>
      <c r="G212" s="26"/>
      <c r="H212" s="26"/>
      <c r="I212" s="26"/>
    </row>
    <row r="213" spans="1:9" x14ac:dyDescent="0.25">
      <c r="A213" s="26"/>
      <c r="B213" s="51"/>
      <c r="C213" s="51"/>
      <c r="D213" s="51"/>
      <c r="E213" s="51"/>
      <c r="F213" s="26"/>
      <c r="G213" s="26"/>
      <c r="H213" s="26"/>
      <c r="I213" s="26"/>
    </row>
    <row r="214" spans="1:9" x14ac:dyDescent="0.25">
      <c r="A214" s="26"/>
      <c r="B214" s="51"/>
      <c r="C214" s="51"/>
      <c r="D214" s="51"/>
      <c r="E214" s="51"/>
      <c r="F214" s="26"/>
      <c r="G214" s="26"/>
      <c r="H214" s="26"/>
      <c r="I214" s="26"/>
    </row>
    <row r="215" spans="1:9" x14ac:dyDescent="0.25">
      <c r="B215" s="51"/>
      <c r="C215" s="51"/>
      <c r="D215" s="51"/>
      <c r="E215" s="51"/>
    </row>
    <row r="216" spans="1:9" x14ac:dyDescent="0.25">
      <c r="B216" s="51"/>
      <c r="C216" s="51"/>
      <c r="D216" s="51"/>
      <c r="E216" s="51"/>
    </row>
  </sheetData>
  <mergeCells count="1">
    <mergeCell ref="B2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6">
    <tabColor theme="7"/>
  </sheetPr>
  <dimension ref="A1:Z55"/>
  <sheetViews>
    <sheetView zoomScale="78" zoomScaleNormal="78" workbookViewId="0">
      <selection activeCell="E25" sqref="E25"/>
    </sheetView>
  </sheetViews>
  <sheetFormatPr defaultRowHeight="15" x14ac:dyDescent="0.25"/>
  <cols>
    <col min="1" max="1" width="29.7109375" style="26" customWidth="1"/>
    <col min="2" max="2" width="20.140625" style="237" customWidth="1"/>
    <col min="3" max="3" width="29" style="26" customWidth="1"/>
    <col min="4" max="4" width="6.5703125" style="26" customWidth="1"/>
    <col min="5" max="5" width="14.28515625" style="157" bestFit="1" customWidth="1"/>
    <col min="6" max="17" width="11.140625" style="26" bestFit="1" customWidth="1"/>
    <col min="18" max="18" width="9.140625" style="26"/>
    <col min="19" max="19" width="12.5703125" style="26" bestFit="1" customWidth="1"/>
    <col min="20" max="16384" width="9.140625" style="26"/>
  </cols>
  <sheetData>
    <row r="1" spans="1:26" ht="15.75" thickBot="1" x14ac:dyDescent="0.3">
      <c r="A1" s="3"/>
      <c r="B1" s="171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" customFormat="1" ht="15.75" x14ac:dyDescent="0.25">
      <c r="A2" s="3"/>
      <c r="B2" s="494" t="s">
        <v>135</v>
      </c>
      <c r="C2" s="495"/>
      <c r="D2" s="172"/>
      <c r="E2" s="172" t="s">
        <v>116</v>
      </c>
      <c r="F2" s="173">
        <v>1</v>
      </c>
      <c r="G2" s="173">
        <v>2</v>
      </c>
      <c r="H2" s="173">
        <v>3</v>
      </c>
      <c r="I2" s="173">
        <v>4</v>
      </c>
      <c r="J2" s="173">
        <v>5</v>
      </c>
      <c r="K2" s="173">
        <v>6</v>
      </c>
      <c r="L2" s="173">
        <v>7</v>
      </c>
      <c r="M2" s="173">
        <v>8</v>
      </c>
      <c r="N2" s="173">
        <v>9</v>
      </c>
      <c r="O2" s="173">
        <v>10</v>
      </c>
      <c r="P2" s="173">
        <v>11</v>
      </c>
      <c r="Q2" s="174">
        <v>12</v>
      </c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175"/>
      <c r="C3" s="176" t="s">
        <v>5</v>
      </c>
      <c r="D3" s="177"/>
      <c r="E3" s="177"/>
      <c r="F3" s="178">
        <f>'ΠΑΡΑΔΟΧΕΣ '!E9</f>
        <v>0.1479</v>
      </c>
      <c r="G3" s="178">
        <f>F3+F3*'ΠΑΡΑΔΟΧΕΣ '!$E$10</f>
        <v>0.14937900000000001</v>
      </c>
      <c r="H3" s="178">
        <f>G3+G3*'ΠΑΡΑΔΟΧΕΣ '!$E$10</f>
        <v>0.15087279000000001</v>
      </c>
      <c r="I3" s="178">
        <f>H3+H3*'ΠΑΡΑΔΟΧΕΣ '!$E$10</f>
        <v>0.15238151790000001</v>
      </c>
      <c r="J3" s="178">
        <f>I3+I3*'ΠΑΡΑΔΟΧΕΣ '!$E$10</f>
        <v>0.15390533307900001</v>
      </c>
      <c r="K3" s="178">
        <f>J3+J3*'ΠΑΡΑΔΟΧΕΣ '!$E$10</f>
        <v>0.15544438640979</v>
      </c>
      <c r="L3" s="178">
        <f>K3+K3*'ΠΑΡΑΔΟΧΕΣ '!$E$10</f>
        <v>0.15699883027388789</v>
      </c>
      <c r="M3" s="178">
        <f>L3+L3*'ΠΑΡΑΔΟΧΕΣ '!$E$10</f>
        <v>0.15856881857662677</v>
      </c>
      <c r="N3" s="178">
        <f>M3+M3*'ΠΑΡΑΔΟΧΕΣ '!$E$10</f>
        <v>0.16015450676239304</v>
      </c>
      <c r="O3" s="178">
        <f>N3+N3*'ΠΑΡΑΔΟΧΕΣ '!$E$10</f>
        <v>0.16175605183001698</v>
      </c>
      <c r="P3" s="178">
        <f>O3+O3*'ΠΑΡΑΔΟΧΕΣ '!$E$10</f>
        <v>0.16337361234831715</v>
      </c>
      <c r="Q3" s="179">
        <f>P3+P3*'ΠΑΡΑΔΟΧΕΣ '!$E$10</f>
        <v>0.16500734847180032</v>
      </c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/>
      <c r="B4" s="497" t="s">
        <v>169</v>
      </c>
      <c r="C4" s="180" t="s">
        <v>122</v>
      </c>
      <c r="D4" s="181" t="s">
        <v>1</v>
      </c>
      <c r="E4" s="182">
        <f>SUM(F4:Q4)</f>
        <v>553599.42523614469</v>
      </c>
      <c r="F4" s="183">
        <f>ΔΕΔΟΜΕΝΑ!F16+ΔΕΔΟΜΕΝΑ!F17+ΔΕΔΟΜΕΝΑ!F18</f>
        <v>42450</v>
      </c>
      <c r="G4" s="183">
        <f>F4+F4*'ΠΑΡΑΔΟΧΕΣ '!$E12</f>
        <v>43086.75</v>
      </c>
      <c r="H4" s="183">
        <f>G4+G4*'ΠΑΡΑΔΟΧΕΣ '!$E12</f>
        <v>43733.051249999997</v>
      </c>
      <c r="I4" s="183">
        <f>H4+H4*'ΠΑΡΑΔΟΧΕΣ '!$E12</f>
        <v>44389.047018749996</v>
      </c>
      <c r="J4" s="183">
        <f>I4+I4*'ΠΑΡΑΔΟΧΕΣ '!$E12</f>
        <v>45054.882724031246</v>
      </c>
      <c r="K4" s="183">
        <f>J4+J4*'ΠΑΡΑΔΟΧΕΣ '!$E12</f>
        <v>45730.705964891713</v>
      </c>
      <c r="L4" s="183">
        <f>K4+K4*'ΠΑΡΑΔΟΧΕΣ '!$E12</f>
        <v>46416.666554365089</v>
      </c>
      <c r="M4" s="183">
        <f>L4+L4*'ΠΑΡΑΔΟΧΕΣ '!$E12</f>
        <v>47112.916552680566</v>
      </c>
      <c r="N4" s="183">
        <f>M4+M4*'ΠΑΡΑΔΟΧΕΣ '!$E12</f>
        <v>47819.610300970773</v>
      </c>
      <c r="O4" s="183">
        <f>N4+N4*'ΠΑΡΑΔΟΧΕΣ '!$E12</f>
        <v>48536.904455485332</v>
      </c>
      <c r="P4" s="183">
        <f>O4+O4*'ΠΑΡΑΔΟΧΕΣ '!$E12</f>
        <v>49264.958022317609</v>
      </c>
      <c r="Q4" s="184">
        <f>P4+P4*'ΠΑΡΑΔΟΧΕΣ '!$E12</f>
        <v>50003.932392652372</v>
      </c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497"/>
      <c r="C5" s="180" t="s">
        <v>170</v>
      </c>
      <c r="D5" s="181" t="s">
        <v>1</v>
      </c>
      <c r="E5" s="185">
        <f>SUM(F5:Q5)</f>
        <v>6344579.3360984493</v>
      </c>
      <c r="F5" s="186">
        <f>'ΒΑΣΙΚΟ ΣΕΝΑΡΙΟ'!$I4*'ΧΡΗΜ. ΑΝΑΛΥΣΗ'!F3</f>
        <v>500262.39532500011</v>
      </c>
      <c r="G5" s="186">
        <f>'ΒΑΣΙΚΟ ΣΕΝΑΡΙΟ'!$I4*'ΧΡΗΜ. ΑΝΑΛΥΣΗ'!G3</f>
        <v>505265.01927825011</v>
      </c>
      <c r="H5" s="186">
        <f>'ΒΑΣΙΚΟ ΣΕΝΑΡΙΟ'!$I4*'ΧΡΗΜ. ΑΝΑΛΥΣΗ'!H3</f>
        <v>510317.66947103257</v>
      </c>
      <c r="I5" s="186">
        <f>'ΒΑΣΙΚΟ ΣΕΝΑΡΙΟ'!$I4*'ΧΡΗΜ. ΑΝΑΛΥΣΗ'!I3</f>
        <v>515420.84616574296</v>
      </c>
      <c r="J5" s="186">
        <f>'ΒΑΣΙΚΟ ΣΕΝΑΡΙΟ'!$I4*'ΧΡΗΜ. ΑΝΑΛΥΣΗ'!J3</f>
        <v>520575.05462740036</v>
      </c>
      <c r="K5" s="186">
        <f>'ΒΑΣΙΚΟ ΣΕΝΑΡΙΟ'!$I4*'ΧΡΗΜ. ΑΝΑΛΥΣΗ'!K3</f>
        <v>525780.80517367437</v>
      </c>
      <c r="L5" s="186">
        <f>'ΒΑΣΙΚΟ ΣΕΝΑΡΙΟ'!$I4*'ΧΡΗΜ. ΑΝΑΛΥΣΗ'!L3</f>
        <v>531038.61322541104</v>
      </c>
      <c r="M5" s="186">
        <f>'ΒΑΣΙΚΟ ΣΕΝΑΡΙΟ'!$I4*'ΧΡΗΜ. ΑΝΑΛΥΣΗ'!M3</f>
        <v>536348.99935766519</v>
      </c>
      <c r="N5" s="186">
        <f>'ΒΑΣΙΚΟ ΣΕΝΑΡΙΟ'!$I4*'ΧΡΗΜ. ΑΝΑΛΥΣΗ'!N3</f>
        <v>541712.48935124185</v>
      </c>
      <c r="O5" s="186">
        <f>'ΒΑΣΙΚΟ ΣΕΝΑΡΙΟ'!$I4*'ΧΡΗΜ. ΑΝΑΛΥΣΗ'!O3</f>
        <v>547129.61424475431</v>
      </c>
      <c r="P5" s="186">
        <f>'ΒΑΣΙΚΟ ΣΕΝΑΡΙΟ'!$I4*'ΧΡΗΜ. ΑΝΑΛΥΣΗ'!P3</f>
        <v>552600.91038720182</v>
      </c>
      <c r="Q5" s="187">
        <f>'ΒΑΣΙΚΟ ΣΕΝΑΡΙΟ'!$I4*'ΧΡΗΜ. ΑΝΑΛΥΣΗ'!Q3</f>
        <v>558126.91949107382</v>
      </c>
      <c r="R5" s="3"/>
      <c r="S5" s="3"/>
      <c r="T5" s="3"/>
      <c r="U5" s="3"/>
      <c r="V5" s="3"/>
      <c r="W5" s="3"/>
      <c r="X5" s="3"/>
      <c r="Y5" s="3"/>
      <c r="Z5" s="3"/>
    </row>
    <row r="6" spans="1:26" s="2" customFormat="1" x14ac:dyDescent="0.25">
      <c r="A6" s="3"/>
      <c r="B6" s="497"/>
      <c r="C6" s="180" t="s">
        <v>124</v>
      </c>
      <c r="D6" s="181" t="s">
        <v>1</v>
      </c>
      <c r="E6" s="182">
        <f>SUM(F6:Q6)</f>
        <v>821596.32013844803</v>
      </c>
      <c r="F6" s="183">
        <f>ΔΕΔΟΜΕΝΑ!F19+ΔΕΔΟΜΕΝΑ!F20</f>
        <v>63000</v>
      </c>
      <c r="G6" s="183">
        <f>F6+F6*'ΠΑΡΑΔΟΧΕΣ '!$E13</f>
        <v>63945</v>
      </c>
      <c r="H6" s="183">
        <f>G6+G6*'ΠΑΡΑΔΟΧΕΣ '!$E13</f>
        <v>64904.175000000003</v>
      </c>
      <c r="I6" s="183">
        <f>H6+H6*'ΠΑΡΑΔΟΧΕΣ '!$E13</f>
        <v>65877.737625000009</v>
      </c>
      <c r="J6" s="183">
        <f>I6+I6*'ΠΑΡΑΔΟΧΕΣ '!$E13</f>
        <v>66865.903689375002</v>
      </c>
      <c r="K6" s="183">
        <f>J6+J6*'ΠΑΡΑΔΟΧΕΣ '!$E13</f>
        <v>67868.892244715622</v>
      </c>
      <c r="L6" s="183">
        <f>K6+K6*'ΠΑΡΑΔΟΧΕΣ '!$E13</f>
        <v>68886.925628386351</v>
      </c>
      <c r="M6" s="183">
        <f>L6+L6*'ΠΑΡΑΔΟΧΕΣ '!$E13</f>
        <v>69920.229512812148</v>
      </c>
      <c r="N6" s="183">
        <f>M6+M6*'ΠΑΡΑΔΟΧΕΣ '!$E13</f>
        <v>70969.032955504328</v>
      </c>
      <c r="O6" s="183">
        <f>N6+N6*'ΠΑΡΑΔΟΧΕΣ '!$E13</f>
        <v>72033.568449836894</v>
      </c>
      <c r="P6" s="183">
        <f>O6+O6*'ΠΑΡΑΔΟΧΕΣ '!$E13</f>
        <v>73114.071976584441</v>
      </c>
      <c r="Q6" s="184">
        <f>P6+P6*'ΠΑΡΑΔΟΧΕΣ '!$E13</f>
        <v>74210.783056233209</v>
      </c>
      <c r="R6" s="3"/>
      <c r="S6" s="3"/>
      <c r="T6" s="3"/>
      <c r="U6" s="3"/>
      <c r="V6" s="3"/>
      <c r="W6" s="3"/>
      <c r="X6" s="3"/>
      <c r="Y6" s="3"/>
      <c r="Z6" s="3"/>
    </row>
    <row r="7" spans="1:26" s="2" customFormat="1" x14ac:dyDescent="0.25">
      <c r="A7" s="3"/>
      <c r="B7" s="497"/>
      <c r="C7" s="180" t="s">
        <v>125</v>
      </c>
      <c r="D7" s="181" t="s">
        <v>1</v>
      </c>
      <c r="E7" s="182">
        <f>SUM(F7:Q7)</f>
        <v>7719775.0814730413</v>
      </c>
      <c r="F7" s="188">
        <f>SUM(F4:F6)</f>
        <v>605712.39532500017</v>
      </c>
      <c r="G7" s="188">
        <f t="shared" ref="G7:P7" si="0">SUM(G4:G6)</f>
        <v>612296.76927825017</v>
      </c>
      <c r="H7" s="188">
        <f t="shared" si="0"/>
        <v>618954.89572103263</v>
      </c>
      <c r="I7" s="188">
        <f t="shared" si="0"/>
        <v>625687.6308094929</v>
      </c>
      <c r="J7" s="188">
        <f t="shared" si="0"/>
        <v>632495.84104080661</v>
      </c>
      <c r="K7" s="188">
        <f t="shared" si="0"/>
        <v>639380.40338328166</v>
      </c>
      <c r="L7" s="188">
        <f t="shared" si="0"/>
        <v>646342.20540816244</v>
      </c>
      <c r="M7" s="188">
        <f t="shared" si="0"/>
        <v>653382.14542315784</v>
      </c>
      <c r="N7" s="188">
        <f t="shared" si="0"/>
        <v>660501.13260771695</v>
      </c>
      <c r="O7" s="188">
        <f t="shared" si="0"/>
        <v>667700.08715007652</v>
      </c>
      <c r="P7" s="188">
        <f t="shared" si="0"/>
        <v>674979.94038610393</v>
      </c>
      <c r="Q7" s="189">
        <f t="shared" ref="Q7" si="1">SUM(Q4:Q6)</f>
        <v>682341.63493995939</v>
      </c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498" t="s">
        <v>120</v>
      </c>
      <c r="C8" s="190" t="s">
        <v>122</v>
      </c>
      <c r="D8" s="191" t="s">
        <v>1</v>
      </c>
      <c r="E8" s="192">
        <f>SUM(F8:Q8)</f>
        <v>312989.07433845638</v>
      </c>
      <c r="F8" s="193">
        <f>ΔΕΔΟΜΕΝΑ!J16+ΔΕΔΟΜΕΝΑ!J17</f>
        <v>24000</v>
      </c>
      <c r="G8" s="193">
        <f>F8+F8*'ΠΑΡΑΔΟΧΕΣ '!$E$12</f>
        <v>24360</v>
      </c>
      <c r="H8" s="193">
        <f>G8+G8*'ΠΑΡΑΔΟΧΕΣ '!$E$12</f>
        <v>24725.4</v>
      </c>
      <c r="I8" s="193">
        <f>H8+H8*'ΠΑΡΑΔΟΧΕΣ '!$E$12</f>
        <v>25096.281000000003</v>
      </c>
      <c r="J8" s="193">
        <f>I8+I8*'ΠΑΡΑΔΟΧΕΣ '!$E$12</f>
        <v>25472.725215000002</v>
      </c>
      <c r="K8" s="193">
        <f>J8+J8*'ΠΑΡΑΔΟΧΕΣ '!$E$12</f>
        <v>25854.816093225003</v>
      </c>
      <c r="L8" s="193">
        <f>K8+K8*'ΠΑΡΑΔΟΧΕΣ '!$E$12</f>
        <v>26242.638334623378</v>
      </c>
      <c r="M8" s="193">
        <f>L8+L8*'ΠΑΡΑΔΟΧΕΣ '!$E$12</f>
        <v>26636.277909642729</v>
      </c>
      <c r="N8" s="193">
        <f>M8+M8*'ΠΑΡΑΔΟΧΕΣ '!$E$12</f>
        <v>27035.822078287369</v>
      </c>
      <c r="O8" s="193">
        <f>N8+N8*'ΠΑΡΑΔΟΧΕΣ '!$E$12</f>
        <v>27441.359409461678</v>
      </c>
      <c r="P8" s="193">
        <f>O8+O8*'ΠΑΡΑΔΟΧΕΣ '!$E$12</f>
        <v>27852.979800603604</v>
      </c>
      <c r="Q8" s="194">
        <f>P8+P8*'ΠΑΡΑΔΟΧΕΣ '!$E$12</f>
        <v>28270.774497612656</v>
      </c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5">
      <c r="A9" s="3"/>
      <c r="B9" s="498"/>
      <c r="C9" s="190" t="s">
        <v>123</v>
      </c>
      <c r="D9" s="191" t="s">
        <v>1</v>
      </c>
      <c r="E9" s="192">
        <f t="shared" ref="E9:E11" si="2">SUM(F9:Q9)</f>
        <v>2379944.5161456941</v>
      </c>
      <c r="F9" s="193">
        <f>'ΒΑΣΙΚΟ ΣΕΝΑΡΙΟ'!$I12*'ΧΡΗΜ. ΑΝΑΛΥΣΗ'!F3</f>
        <v>187655.74221975004</v>
      </c>
      <c r="G9" s="193">
        <f>'ΒΑΣΙΚΟ ΣΕΝΑΡΙΟ'!$I12*'ΧΡΗΜ. ΑΝΑΛΥΣΗ'!G3</f>
        <v>189532.29964194755</v>
      </c>
      <c r="H9" s="193">
        <f>'ΒΑΣΙΚΟ ΣΕΝΑΡΙΟ'!$I12*'ΧΡΗΜ. ΑΝΑΛΥΣΗ'!H3</f>
        <v>191427.622638367</v>
      </c>
      <c r="I9" s="193">
        <f>'ΒΑΣΙΚΟ ΣΕΝΑΡΙΟ'!$I12*'ΧΡΗΜ. ΑΝΑΛΥΣΗ'!I3</f>
        <v>193341.89886475069</v>
      </c>
      <c r="J9" s="193">
        <f>'ΒΑΣΙΚΟ ΣΕΝΑΡΙΟ'!$I12*'ΧΡΗΜ. ΑΝΑΛΥΣΗ'!J3</f>
        <v>195275.31785339818</v>
      </c>
      <c r="K9" s="193">
        <f>'ΒΑΣΙΚΟ ΣΕΝΑΡΙΟ'!$I12*'ΧΡΗΜ. ΑΝΑΛΥΣΗ'!K3</f>
        <v>197228.07103193217</v>
      </c>
      <c r="L9" s="193">
        <f>'ΒΑΣΙΚΟ ΣΕΝΑΡΙΟ'!$I12*'ΧΡΗΜ. ΑΝΑΛΥΣΗ'!L3</f>
        <v>199200.35174225146</v>
      </c>
      <c r="M9" s="193">
        <f>'ΒΑΣΙΚΟ ΣΕΝΑΡΙΟ'!$I12*'ΧΡΗΜ. ΑΝΑΛΥΣΗ'!M3</f>
        <v>201192.35525967399</v>
      </c>
      <c r="N9" s="193">
        <f>'ΒΑΣΙΚΟ ΣΕΝΑΡΙΟ'!$I12*'ΧΡΗΜ. ΑΝΑΛΥΣΗ'!N3</f>
        <v>203204.27881227073</v>
      </c>
      <c r="O9" s="193">
        <f>'ΒΑΣΙΚΟ ΣΕΝΑΡΙΟ'!$I12*'ΧΡΗΜ. ΑΝΑΛΥΣΗ'!O3</f>
        <v>205236.32160039345</v>
      </c>
      <c r="P9" s="193">
        <f>'ΒΑΣΙΚΟ ΣΕΝΑΡΙΟ'!$I12*'ΧΡΗΜ. ΑΝΑΛΥΣΗ'!P3</f>
        <v>207288.68481639738</v>
      </c>
      <c r="Q9" s="194">
        <f>'ΒΑΣΙΚΟ ΣΕΝΑΡΙΟ'!$I12*'ΧΡΗΜ. ΑΝΑΛΥΣΗ'!Q3</f>
        <v>209361.57166456134</v>
      </c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498"/>
      <c r="C10" s="190" t="s">
        <v>124</v>
      </c>
      <c r="D10" s="191" t="s">
        <v>1</v>
      </c>
      <c r="E10" s="192">
        <f t="shared" si="2"/>
        <v>804153.69984979439</v>
      </c>
      <c r="F10" s="193">
        <f>ΔΕΔΟΜΕΝΑ!J19+ΔΕΔΟΜΕΝΑ!J20</f>
        <v>61662.5</v>
      </c>
      <c r="G10" s="193">
        <f>F10+F10*'ΠΑΡΑΔΟΧΕΣ '!$E13</f>
        <v>62587.4375</v>
      </c>
      <c r="H10" s="193">
        <f>G10+G10*'ΠΑΡΑΔΟΧΕΣ '!$E13</f>
        <v>63526.249062499999</v>
      </c>
      <c r="I10" s="193">
        <f>H10+H10*'ΠΑΡΑΔΟΧΕΣ '!$E13</f>
        <v>64479.142798437497</v>
      </c>
      <c r="J10" s="193">
        <f>I10+I10*'ΠΑΡΑΔΟΧΕΣ '!$E13</f>
        <v>65446.329940414056</v>
      </c>
      <c r="K10" s="193">
        <f>J10+J10*'ΠΑΡΑΔΟΧΕΣ '!$E13</f>
        <v>66428.024889520268</v>
      </c>
      <c r="L10" s="193">
        <f>K10+K10*'ΠΑΡΑΔΟΧΕΣ '!$E13</f>
        <v>67424.445262863068</v>
      </c>
      <c r="M10" s="193">
        <f>L10+L10*'ΠΑΡΑΔΟΧΕΣ '!$E13</f>
        <v>68435.811941806009</v>
      </c>
      <c r="N10" s="193">
        <f>M10+M10*'ΠΑΡΑΔΟΧΕΣ '!$E13</f>
        <v>69462.349120933097</v>
      </c>
      <c r="O10" s="193">
        <f>N10+N10*'ΠΑΡΑΔΟΧΕΣ '!$E13</f>
        <v>70504.284357747092</v>
      </c>
      <c r="P10" s="193">
        <f>O10+O10*'ΠΑΡΑΔΟΧΕΣ '!$E13</f>
        <v>71561.848623113299</v>
      </c>
      <c r="Q10" s="194">
        <f>P10+P10*'ΠΑΡΑΔΟΧΕΣ '!$E13</f>
        <v>72635.276352460001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498"/>
      <c r="C11" s="190" t="s">
        <v>125</v>
      </c>
      <c r="D11" s="191" t="s">
        <v>1</v>
      </c>
      <c r="E11" s="192">
        <f t="shared" si="2"/>
        <v>3497087.2903339448</v>
      </c>
      <c r="F11" s="195">
        <f>SUM(F8:F10)</f>
        <v>273318.24221975007</v>
      </c>
      <c r="G11" s="195">
        <f t="shared" ref="G11:P11" si="3">SUM(G8:G10)</f>
        <v>276479.73714194755</v>
      </c>
      <c r="H11" s="195">
        <f t="shared" si="3"/>
        <v>279679.27170086699</v>
      </c>
      <c r="I11" s="195">
        <f t="shared" si="3"/>
        <v>282917.32266318821</v>
      </c>
      <c r="J11" s="195">
        <f t="shared" si="3"/>
        <v>286194.37300881225</v>
      </c>
      <c r="K11" s="195">
        <f t="shared" si="3"/>
        <v>289510.91201467742</v>
      </c>
      <c r="L11" s="195">
        <f t="shared" si="3"/>
        <v>292867.43533973792</v>
      </c>
      <c r="M11" s="195">
        <f t="shared" si="3"/>
        <v>296264.44511112274</v>
      </c>
      <c r="N11" s="195">
        <f t="shared" si="3"/>
        <v>299702.45001149119</v>
      </c>
      <c r="O11" s="195">
        <f t="shared" si="3"/>
        <v>303181.96536760218</v>
      </c>
      <c r="P11" s="195">
        <f t="shared" si="3"/>
        <v>306703.51324011432</v>
      </c>
      <c r="Q11" s="196">
        <f t="shared" ref="Q11" si="4">SUM(Q8:Q10)</f>
        <v>310267.62251463404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496" t="s">
        <v>104</v>
      </c>
      <c r="C12" s="197" t="s">
        <v>118</v>
      </c>
      <c r="D12" s="198" t="s">
        <v>1</v>
      </c>
      <c r="E12" s="199">
        <f>SUM(F12:Q12)</f>
        <v>3964634.8199527552</v>
      </c>
      <c r="F12" s="200">
        <f t="shared" ref="F12:Q12" si="5">(F5-F9)</f>
        <v>312606.65310525009</v>
      </c>
      <c r="G12" s="200">
        <f t="shared" si="5"/>
        <v>315732.71963630256</v>
      </c>
      <c r="H12" s="200">
        <f t="shared" si="5"/>
        <v>318890.04683266557</v>
      </c>
      <c r="I12" s="200">
        <f t="shared" si="5"/>
        <v>322078.94730099227</v>
      </c>
      <c r="J12" s="200">
        <f t="shared" si="5"/>
        <v>325299.7367740022</v>
      </c>
      <c r="K12" s="200">
        <f t="shared" si="5"/>
        <v>328552.73414174223</v>
      </c>
      <c r="L12" s="200">
        <f t="shared" si="5"/>
        <v>331838.26148315961</v>
      </c>
      <c r="M12" s="200">
        <f t="shared" si="5"/>
        <v>335156.64409799117</v>
      </c>
      <c r="N12" s="200">
        <f t="shared" si="5"/>
        <v>338508.21053897112</v>
      </c>
      <c r="O12" s="200">
        <f t="shared" si="5"/>
        <v>341893.29264436086</v>
      </c>
      <c r="P12" s="200">
        <f t="shared" si="5"/>
        <v>345312.22557080444</v>
      </c>
      <c r="Q12" s="201">
        <f t="shared" si="5"/>
        <v>348765.34782651247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4" x14ac:dyDescent="0.25">
      <c r="A13" s="3"/>
      <c r="B13" s="496"/>
      <c r="C13" s="197" t="s">
        <v>171</v>
      </c>
      <c r="D13" s="198" t="s">
        <v>1</v>
      </c>
      <c r="E13" s="202">
        <f t="shared" ref="E13:E14" si="6">SUM(F13:Q13)</f>
        <v>258052.97118634189</v>
      </c>
      <c r="F13" s="203">
        <f t="shared" ref="F13:Q13" si="7">F6+F4-F8-F10</f>
        <v>19787.5</v>
      </c>
      <c r="G13" s="203">
        <f t="shared" si="7"/>
        <v>20084.3125</v>
      </c>
      <c r="H13" s="203">
        <f t="shared" si="7"/>
        <v>20385.577187500014</v>
      </c>
      <c r="I13" s="203">
        <f t="shared" si="7"/>
        <v>20691.360845312498</v>
      </c>
      <c r="J13" s="203">
        <f t="shared" si="7"/>
        <v>21001.7312579922</v>
      </c>
      <c r="K13" s="203">
        <f t="shared" si="7"/>
        <v>21316.757226862057</v>
      </c>
      <c r="L13" s="203">
        <f t="shared" si="7"/>
        <v>21636.508585264994</v>
      </c>
      <c r="M13" s="203">
        <f t="shared" si="7"/>
        <v>21961.056214043972</v>
      </c>
      <c r="N13" s="203">
        <f t="shared" si="7"/>
        <v>22290.472057254636</v>
      </c>
      <c r="O13" s="203">
        <f t="shared" si="7"/>
        <v>22624.829138113448</v>
      </c>
      <c r="P13" s="203">
        <f t="shared" si="7"/>
        <v>22964.201575185158</v>
      </c>
      <c r="Q13" s="204">
        <f t="shared" si="7"/>
        <v>23308.664598812917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499" t="s">
        <v>119</v>
      </c>
      <c r="C14" s="205" t="s">
        <v>115</v>
      </c>
      <c r="D14" s="206" t="s">
        <v>1</v>
      </c>
      <c r="E14" s="207">
        <f t="shared" si="6"/>
        <v>210000</v>
      </c>
      <c r="F14" s="208">
        <v>17500</v>
      </c>
      <c r="G14" s="208">
        <v>17500</v>
      </c>
      <c r="H14" s="208">
        <v>17500</v>
      </c>
      <c r="I14" s="208">
        <v>17500</v>
      </c>
      <c r="J14" s="208">
        <v>17500</v>
      </c>
      <c r="K14" s="208">
        <v>17500</v>
      </c>
      <c r="L14" s="208">
        <v>17500</v>
      </c>
      <c r="M14" s="208">
        <v>17500</v>
      </c>
      <c r="N14" s="208">
        <v>17500</v>
      </c>
      <c r="O14" s="208">
        <v>17500</v>
      </c>
      <c r="P14" s="208">
        <v>17500</v>
      </c>
      <c r="Q14" s="209">
        <v>17500</v>
      </c>
      <c r="R14" s="3"/>
      <c r="S14" s="210" t="s">
        <v>127</v>
      </c>
      <c r="T14" s="3"/>
      <c r="U14" s="3"/>
      <c r="V14" s="3"/>
      <c r="W14" s="3"/>
      <c r="X14" s="3"/>
      <c r="Y14" s="3"/>
      <c r="Z14" s="3"/>
    </row>
    <row r="15" spans="1:26" ht="24" x14ac:dyDescent="0.25">
      <c r="A15" s="3"/>
      <c r="B15" s="499"/>
      <c r="C15" s="205" t="s">
        <v>117</v>
      </c>
      <c r="D15" s="206" t="s">
        <v>1</v>
      </c>
      <c r="E15" s="211">
        <f>SUM(F15:Q15)</f>
        <v>3964634.8199527552</v>
      </c>
      <c r="F15" s="212">
        <f>F12</f>
        <v>312606.65310525009</v>
      </c>
      <c r="G15" s="212">
        <f t="shared" ref="G15:Q15" si="8">G12</f>
        <v>315732.71963630256</v>
      </c>
      <c r="H15" s="212">
        <f t="shared" si="8"/>
        <v>318890.04683266557</v>
      </c>
      <c r="I15" s="212">
        <f t="shared" si="8"/>
        <v>322078.94730099227</v>
      </c>
      <c r="J15" s="212">
        <f t="shared" si="8"/>
        <v>325299.7367740022</v>
      </c>
      <c r="K15" s="212">
        <f t="shared" si="8"/>
        <v>328552.73414174223</v>
      </c>
      <c r="L15" s="212">
        <f t="shared" si="8"/>
        <v>331838.26148315961</v>
      </c>
      <c r="M15" s="212">
        <f t="shared" si="8"/>
        <v>335156.64409799117</v>
      </c>
      <c r="N15" s="212">
        <f t="shared" si="8"/>
        <v>338508.21053897112</v>
      </c>
      <c r="O15" s="212">
        <f t="shared" si="8"/>
        <v>341893.29264436086</v>
      </c>
      <c r="P15" s="212">
        <f t="shared" si="8"/>
        <v>345312.22557080444</v>
      </c>
      <c r="Q15" s="213">
        <f t="shared" si="8"/>
        <v>348765.34782651247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500" t="s">
        <v>121</v>
      </c>
      <c r="C16" s="214" t="s">
        <v>172</v>
      </c>
      <c r="D16" s="215" t="s">
        <v>2</v>
      </c>
      <c r="E16" s="216">
        <f>SUM(F16:Q16)</f>
        <v>44111072.807953209</v>
      </c>
      <c r="F16" s="217">
        <f>'ΒΑΣΙΚΟ ΣΕΝΑΡΙΟ'!I4</f>
        <v>3382436.7500000005</v>
      </c>
      <c r="G16" s="217">
        <f>F16+F16*'ΠΑΡΑΔΟΧΕΣ '!$E14</f>
        <v>3433173.3012500005</v>
      </c>
      <c r="H16" s="217">
        <f>G16+G16*'ΠΑΡΑΔΟΧΕΣ '!$E14</f>
        <v>3484670.9007687503</v>
      </c>
      <c r="I16" s="217">
        <f>H16+H16*'ΠΑΡΑΔΟΧΕΣ '!$E14</f>
        <v>3536940.9642802817</v>
      </c>
      <c r="J16" s="217">
        <f>I16+I16*'ΠΑΡΑΔΟΧΕΣ '!$E14</f>
        <v>3589995.078744486</v>
      </c>
      <c r="K16" s="217">
        <f>J16+J16*'ΠΑΡΑΔΟΧΕΣ '!$E14</f>
        <v>3643845.0049256533</v>
      </c>
      <c r="L16" s="217">
        <f>K16+K16*'ΠΑΡΑΔΟΧΕΣ '!$E14</f>
        <v>3698502.6799995382</v>
      </c>
      <c r="M16" s="217">
        <f>L16+L16*'ΠΑΡΑΔΟΧΕΣ '!$E14</f>
        <v>3753980.2201995314</v>
      </c>
      <c r="N16" s="217">
        <f>M16+M16*'ΠΑΡΑΔΟΧΕΣ '!$E14</f>
        <v>3810289.9235025244</v>
      </c>
      <c r="O16" s="217">
        <f>N16+N16*'ΠΑΡΑΔΟΧΕΣ '!$E14</f>
        <v>3867444.2723550624</v>
      </c>
      <c r="P16" s="217">
        <f>O16+O16*'ΠΑΡΑΔΟΧΕΣ '!$E14</f>
        <v>3925455.9364403882</v>
      </c>
      <c r="Q16" s="218">
        <f>P16+P16*'ΠΑΡΑΔΟΧΕΣ '!$E14</f>
        <v>3984337.7754869941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4" x14ac:dyDescent="0.25">
      <c r="A17" s="3"/>
      <c r="B17" s="500"/>
      <c r="C17" s="214" t="s">
        <v>173</v>
      </c>
      <c r="D17" s="215" t="s">
        <v>2</v>
      </c>
      <c r="E17" s="216">
        <f>SUM(F17:Q17)</f>
        <v>16546708.657779904</v>
      </c>
      <c r="F17" s="217">
        <f>'ΒΑΣΙΚΟ ΣΕΝΑΡΙΟ'!I12</f>
        <v>1268801.5025000002</v>
      </c>
      <c r="G17" s="217">
        <f>F17+F17*'ΠΑΡΑΔΟΧΕΣ '!$E14</f>
        <v>1287833.5250375001</v>
      </c>
      <c r="H17" s="217">
        <f>G17+G17*'ΠΑΡΑΔΟΧΕΣ '!$E14</f>
        <v>1307151.0279130626</v>
      </c>
      <c r="I17" s="217">
        <f>H17+H17*'ΠΑΡΑΔΟΧΕΣ '!$E14</f>
        <v>1326758.2933317586</v>
      </c>
      <c r="J17" s="217">
        <f>I17+I17*'ΠΑΡΑΔΟΧΕΣ '!$E14</f>
        <v>1346659.6677317349</v>
      </c>
      <c r="K17" s="217">
        <f>J17+J17*'ΠΑΡΑΔΟΧΕΣ '!$E14</f>
        <v>1366859.5627477109</v>
      </c>
      <c r="L17" s="217">
        <f>K17+K17*'ΠΑΡΑΔΟΧΕΣ '!$E14</f>
        <v>1387362.4561889265</v>
      </c>
      <c r="M17" s="217">
        <f>L17+L17*'ΠΑΡΑΔΟΧΕΣ '!$E14</f>
        <v>1408172.8930317604</v>
      </c>
      <c r="N17" s="217">
        <f>M17+M17*'ΠΑΡΑΔΟΧΕΣ '!$E14</f>
        <v>1429295.4864272368</v>
      </c>
      <c r="O17" s="217">
        <f>N17+N17*'ΠΑΡΑΔΟΧΕΣ '!$E14</f>
        <v>1450734.9187236454</v>
      </c>
      <c r="P17" s="217">
        <f>O17+O17*'ΠΑΡΑΔΟΧΕΣ '!$E14</f>
        <v>1472495.9425045</v>
      </c>
      <c r="Q17" s="218">
        <f>P17+P17*'ΠΑΡΑΔΟΧΕΣ '!$E14</f>
        <v>1494583.3816420676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500"/>
      <c r="C18" s="219" t="s">
        <v>174</v>
      </c>
      <c r="D18" s="215" t="s">
        <v>3</v>
      </c>
      <c r="E18" s="216">
        <f>SUM(F18:Q18)</f>
        <v>50683622.656338237</v>
      </c>
      <c r="F18" s="217">
        <f>F16*'ΠΑΡΑΔΟΧΕΣ '!$E16</f>
        <v>3886419.8257500008</v>
      </c>
      <c r="G18" s="217">
        <f>G16*'ΠΑΡΑΔΟΧΕΣ '!$E16</f>
        <v>3944716.1231362508</v>
      </c>
      <c r="H18" s="217">
        <f>H16*'ΠΑΡΑΔΟΧΕΣ '!$E16</f>
        <v>4003886.8649832942</v>
      </c>
      <c r="I18" s="217">
        <f>I16*'ΠΑΡΑΔΟΧΕΣ '!$E16</f>
        <v>4063945.1679580435</v>
      </c>
      <c r="J18" s="217">
        <f>J16*'ΠΑΡΑΔΟΧΕΣ '!$E16</f>
        <v>4124904.3454774143</v>
      </c>
      <c r="K18" s="217">
        <f>K16*'ΠΑΡΑΔΟΧΕΣ '!$E16</f>
        <v>4186777.9106595758</v>
      </c>
      <c r="L18" s="217">
        <f>L16*'ΠΑΡΑΔΟΧΕΣ '!$E16</f>
        <v>4249579.5793194696</v>
      </c>
      <c r="M18" s="217">
        <f>M16*'ΠΑΡΑΔΟΧΕΣ '!$E16</f>
        <v>4313323.273009262</v>
      </c>
      <c r="N18" s="217">
        <f>N16*'ΠΑΡΑΔΟΧΕΣ '!$E16</f>
        <v>4378023.1221044008</v>
      </c>
      <c r="O18" s="217">
        <f>O16*'ΠΑΡΑΔΟΧΕΣ '!$E16</f>
        <v>4443693.4689359665</v>
      </c>
      <c r="P18" s="217">
        <f>P16*'ΠΑΡΑΔΟΧΕΣ '!$E16</f>
        <v>4510348.8709700061</v>
      </c>
      <c r="Q18" s="218">
        <f>Q16*'ΠΑΡΑΔΟΧΕΣ '!$E16</f>
        <v>4578004.1040345561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500"/>
      <c r="C19" s="214"/>
      <c r="D19" s="220" t="s">
        <v>8</v>
      </c>
      <c r="E19" s="216"/>
      <c r="F19" s="221">
        <f>F18/1000</f>
        <v>3886.4198257500007</v>
      </c>
      <c r="G19" s="221">
        <f t="shared" ref="G19:P19" si="9">G18/1000</f>
        <v>3944.7161231362506</v>
      </c>
      <c r="H19" s="221">
        <f t="shared" si="9"/>
        <v>4003.8868649832943</v>
      </c>
      <c r="I19" s="221">
        <f t="shared" si="9"/>
        <v>4063.9451679580434</v>
      </c>
      <c r="J19" s="221">
        <f t="shared" si="9"/>
        <v>4124.9043454774146</v>
      </c>
      <c r="K19" s="221">
        <f t="shared" si="9"/>
        <v>4186.7779106595763</v>
      </c>
      <c r="L19" s="221">
        <f t="shared" si="9"/>
        <v>4249.5795793194693</v>
      </c>
      <c r="M19" s="221">
        <f t="shared" si="9"/>
        <v>4313.3232730092623</v>
      </c>
      <c r="N19" s="221">
        <f t="shared" si="9"/>
        <v>4378.0231221044005</v>
      </c>
      <c r="O19" s="221">
        <f t="shared" si="9"/>
        <v>4443.6934689359668</v>
      </c>
      <c r="P19" s="221">
        <f t="shared" si="9"/>
        <v>4510.3488709700059</v>
      </c>
      <c r="Q19" s="222">
        <f t="shared" ref="Q19" si="10">Q18/1000</f>
        <v>4578.0041040345559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17.25" customHeight="1" x14ac:dyDescent="0.25">
      <c r="A20" s="3"/>
      <c r="B20" s="500"/>
      <c r="C20" s="219" t="s">
        <v>175</v>
      </c>
      <c r="D20" s="215" t="s">
        <v>3</v>
      </c>
      <c r="E20" s="216">
        <f>SUM(F20:Q21)</f>
        <v>19031180.4160369</v>
      </c>
      <c r="F20" s="217">
        <f>F17*'ΠΑΡΑΔΟΧΕΣ '!$E16</f>
        <v>1457852.9263725001</v>
      </c>
      <c r="G20" s="217">
        <f>G17*'ΠΑΡΑΔΟΧΕΣ '!$E16</f>
        <v>1479720.7202680877</v>
      </c>
      <c r="H20" s="217">
        <f>H17*'ΠΑΡΑΔΟΧΕΣ '!$E16</f>
        <v>1501916.531072109</v>
      </c>
      <c r="I20" s="217">
        <f>I17*'ΠΑΡΑΔΟΧΕΣ '!$E16</f>
        <v>1524445.2790381906</v>
      </c>
      <c r="J20" s="217">
        <f>J17*'ΠΑΡΑΔΟΧΕΣ '!$E16</f>
        <v>1547311.9582237634</v>
      </c>
      <c r="K20" s="217">
        <f>K17*'ΠΑΡΑΔΟΧΕΣ '!$E16</f>
        <v>1570521.6375971199</v>
      </c>
      <c r="L20" s="217">
        <f>L17*'ΠΑΡΑΔΟΧΕΣ '!$E16</f>
        <v>1594079.4621610765</v>
      </c>
      <c r="M20" s="217">
        <f>M17*'ΠΑΡΑΔΟΧΕΣ '!$E16</f>
        <v>1617990.6540934928</v>
      </c>
      <c r="N20" s="217">
        <f>N17*'ΠΑΡΑΔΟΧΕΣ '!$E16</f>
        <v>1642260.5139048952</v>
      </c>
      <c r="O20" s="217">
        <f>O17*'ΠΑΡΑΔΟΧΕΣ '!$E16</f>
        <v>1666894.4216134686</v>
      </c>
      <c r="P20" s="217">
        <f>P17*'ΠΑΡΑΔΟΧΕΣ '!$E16</f>
        <v>1691897.8379376705</v>
      </c>
      <c r="Q20" s="218">
        <f>Q17*'ΠΑΡΑΔΟΧΕΣ '!$E16</f>
        <v>1717276.3055067356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500"/>
      <c r="C21" s="214"/>
      <c r="D21" s="220" t="s">
        <v>8</v>
      </c>
      <c r="E21" s="216"/>
      <c r="F21" s="221">
        <f>F20/1000</f>
        <v>1457.8529263725002</v>
      </c>
      <c r="G21" s="221">
        <f t="shared" ref="G21:P21" si="11">G20/1000</f>
        <v>1479.7207202680877</v>
      </c>
      <c r="H21" s="221">
        <f t="shared" si="11"/>
        <v>1501.9165310721089</v>
      </c>
      <c r="I21" s="221">
        <f t="shared" si="11"/>
        <v>1524.4452790381906</v>
      </c>
      <c r="J21" s="221">
        <f t="shared" si="11"/>
        <v>1547.3119582237634</v>
      </c>
      <c r="K21" s="221">
        <f t="shared" si="11"/>
        <v>1570.5216375971199</v>
      </c>
      <c r="L21" s="221">
        <f t="shared" si="11"/>
        <v>1594.0794621610764</v>
      </c>
      <c r="M21" s="221">
        <f t="shared" si="11"/>
        <v>1617.9906540934928</v>
      </c>
      <c r="N21" s="221">
        <f t="shared" si="11"/>
        <v>1642.2605139048951</v>
      </c>
      <c r="O21" s="221">
        <f t="shared" si="11"/>
        <v>1666.8944216134685</v>
      </c>
      <c r="P21" s="221">
        <f t="shared" si="11"/>
        <v>1691.8978379376706</v>
      </c>
      <c r="Q21" s="222">
        <f t="shared" ref="Q21" si="12">Q20/1000</f>
        <v>1717.2763055067355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3"/>
      <c r="B22" s="496" t="s">
        <v>34</v>
      </c>
      <c r="C22" s="223" t="s">
        <v>35</v>
      </c>
      <c r="D22" s="224" t="s">
        <v>2</v>
      </c>
      <c r="E22" s="225">
        <f>SUM(F22:Q22)</f>
        <v>27564364.150173306</v>
      </c>
      <c r="F22" s="226">
        <f t="shared" ref="F22:Q22" si="13">F16-F17</f>
        <v>2113635.2475000005</v>
      </c>
      <c r="G22" s="226">
        <f t="shared" si="13"/>
        <v>2145339.7762125004</v>
      </c>
      <c r="H22" s="226">
        <f t="shared" si="13"/>
        <v>2177519.8728556875</v>
      </c>
      <c r="I22" s="226">
        <f t="shared" si="13"/>
        <v>2210182.6709485231</v>
      </c>
      <c r="J22" s="226">
        <f t="shared" si="13"/>
        <v>2243335.4110127511</v>
      </c>
      <c r="K22" s="226">
        <f t="shared" si="13"/>
        <v>2276985.4421779425</v>
      </c>
      <c r="L22" s="226">
        <f t="shared" si="13"/>
        <v>2311140.2238106118</v>
      </c>
      <c r="M22" s="226">
        <f t="shared" si="13"/>
        <v>2345807.3271677708</v>
      </c>
      <c r="N22" s="226">
        <f t="shared" si="13"/>
        <v>2380994.4370752876</v>
      </c>
      <c r="O22" s="226">
        <f t="shared" si="13"/>
        <v>2416709.3536314173</v>
      </c>
      <c r="P22" s="226">
        <f t="shared" si="13"/>
        <v>2452959.9939358882</v>
      </c>
      <c r="Q22" s="227">
        <f t="shared" si="13"/>
        <v>2489754.3938449267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496"/>
      <c r="C23" s="223" t="s">
        <v>36</v>
      </c>
      <c r="D23" s="224"/>
      <c r="E23" s="225">
        <f>SUM(F23:Q23)</f>
        <v>31671.454408549132</v>
      </c>
      <c r="F23" s="226">
        <f>F19-F21</f>
        <v>2428.5668993775007</v>
      </c>
      <c r="G23" s="226">
        <f t="shared" ref="G23:P23" si="14">G19-G21</f>
        <v>2464.9954028681632</v>
      </c>
      <c r="H23" s="226">
        <f t="shared" si="14"/>
        <v>2501.9703339111857</v>
      </c>
      <c r="I23" s="226">
        <f t="shared" si="14"/>
        <v>2539.4998889198528</v>
      </c>
      <c r="J23" s="226">
        <f t="shared" si="14"/>
        <v>2577.5923872536514</v>
      </c>
      <c r="K23" s="226">
        <f t="shared" si="14"/>
        <v>2616.2562730624563</v>
      </c>
      <c r="L23" s="226">
        <f t="shared" si="14"/>
        <v>2655.5001171583926</v>
      </c>
      <c r="M23" s="226">
        <f t="shared" si="14"/>
        <v>2695.3326189157697</v>
      </c>
      <c r="N23" s="226">
        <f t="shared" si="14"/>
        <v>2735.7626081995054</v>
      </c>
      <c r="O23" s="226">
        <f t="shared" si="14"/>
        <v>2776.7990473224982</v>
      </c>
      <c r="P23" s="226">
        <f t="shared" si="14"/>
        <v>2818.4510330323355</v>
      </c>
      <c r="Q23" s="227">
        <f t="shared" ref="Q23" si="15">Q19-Q21</f>
        <v>2860.7277985278206</v>
      </c>
      <c r="R23" s="3"/>
      <c r="S23" s="3"/>
      <c r="T23" s="3"/>
      <c r="U23" s="3"/>
      <c r="V23" s="3"/>
      <c r="W23" s="3"/>
      <c r="X23" s="3"/>
      <c r="Y23" s="3"/>
      <c r="Z23" s="3"/>
    </row>
    <row r="24" spans="1:26" ht="24.75" customHeight="1" x14ac:dyDescent="0.25">
      <c r="A24" s="3"/>
      <c r="B24" s="18" t="s">
        <v>129</v>
      </c>
      <c r="C24" s="228" t="s">
        <v>130</v>
      </c>
      <c r="D24" s="229" t="s">
        <v>1</v>
      </c>
      <c r="E24" s="230">
        <f>SUM(F24:Q24)</f>
        <v>258052.97118634189</v>
      </c>
      <c r="F24" s="230">
        <f>F13</f>
        <v>19787.5</v>
      </c>
      <c r="G24" s="230">
        <f t="shared" ref="G24:P24" si="16">G13</f>
        <v>20084.3125</v>
      </c>
      <c r="H24" s="230">
        <f t="shared" si="16"/>
        <v>20385.577187500014</v>
      </c>
      <c r="I24" s="230">
        <f t="shared" si="16"/>
        <v>20691.360845312498</v>
      </c>
      <c r="J24" s="230">
        <f t="shared" si="16"/>
        <v>21001.7312579922</v>
      </c>
      <c r="K24" s="230">
        <f t="shared" si="16"/>
        <v>21316.757226862057</v>
      </c>
      <c r="L24" s="230">
        <f t="shared" si="16"/>
        <v>21636.508585264994</v>
      </c>
      <c r="M24" s="230">
        <f t="shared" si="16"/>
        <v>21961.056214043972</v>
      </c>
      <c r="N24" s="230">
        <f t="shared" si="16"/>
        <v>22290.472057254636</v>
      </c>
      <c r="O24" s="230">
        <f t="shared" si="16"/>
        <v>22624.829138113448</v>
      </c>
      <c r="P24" s="230">
        <f t="shared" si="16"/>
        <v>22964.201575185158</v>
      </c>
      <c r="Q24" s="231">
        <f>Q13</f>
        <v>23308.664598812917</v>
      </c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25">
      <c r="A25" s="3"/>
      <c r="B25" s="18" t="s">
        <v>131</v>
      </c>
      <c r="C25" s="228" t="s">
        <v>132</v>
      </c>
      <c r="D25" s="229" t="s">
        <v>1</v>
      </c>
      <c r="E25" s="230">
        <f>SUM(F25:Q25)</f>
        <v>219412.33863537954</v>
      </c>
      <c r="F25" s="230">
        <f>F22*0.00796</f>
        <v>16824.536570100005</v>
      </c>
      <c r="G25" s="230">
        <f t="shared" ref="G25:P25" si="17">G22*0.00796</f>
        <v>17076.904618651504</v>
      </c>
      <c r="H25" s="230">
        <f t="shared" si="17"/>
        <v>17333.058187931274</v>
      </c>
      <c r="I25" s="230">
        <f t="shared" si="17"/>
        <v>17593.054060750244</v>
      </c>
      <c r="J25" s="230">
        <f t="shared" si="17"/>
        <v>17856.949871661498</v>
      </c>
      <c r="K25" s="230">
        <f t="shared" si="17"/>
        <v>18124.804119736422</v>
      </c>
      <c r="L25" s="230">
        <f t="shared" si="17"/>
        <v>18396.676181532468</v>
      </c>
      <c r="M25" s="230">
        <f t="shared" si="17"/>
        <v>18672.626324255456</v>
      </c>
      <c r="N25" s="230">
        <f t="shared" si="17"/>
        <v>18952.715719119289</v>
      </c>
      <c r="O25" s="230">
        <f t="shared" si="17"/>
        <v>19237.006454906081</v>
      </c>
      <c r="P25" s="230">
        <f t="shared" si="17"/>
        <v>19525.561551729668</v>
      </c>
      <c r="Q25" s="231">
        <f>Q22*0.00796</f>
        <v>19818.444975005616</v>
      </c>
      <c r="R25" s="3"/>
      <c r="S25" s="3"/>
      <c r="T25" s="3"/>
      <c r="U25" s="3"/>
      <c r="V25" s="3"/>
      <c r="W25" s="3"/>
      <c r="X25" s="3"/>
      <c r="Y25" s="3"/>
      <c r="Z25" s="3"/>
    </row>
    <row r="26" spans="1:26" ht="27" customHeight="1" thickBot="1" x14ac:dyDescent="0.3">
      <c r="A26" s="3"/>
      <c r="B26" s="19" t="s">
        <v>133</v>
      </c>
      <c r="C26" s="232" t="s">
        <v>134</v>
      </c>
      <c r="D26" s="233" t="s">
        <v>1</v>
      </c>
      <c r="E26" s="234">
        <f>E24+E25</f>
        <v>477465.3098217214</v>
      </c>
      <c r="F26" s="234">
        <f t="shared" ref="F26:Q26" si="18">F24+F25</f>
        <v>36612.036570100005</v>
      </c>
      <c r="G26" s="234">
        <f t="shared" si="18"/>
        <v>37161.217118651504</v>
      </c>
      <c r="H26" s="234">
        <f t="shared" si="18"/>
        <v>37718.635375431288</v>
      </c>
      <c r="I26" s="234">
        <f t="shared" si="18"/>
        <v>38284.414906062739</v>
      </c>
      <c r="J26" s="234">
        <f t="shared" si="18"/>
        <v>38858.681129653698</v>
      </c>
      <c r="K26" s="234">
        <f t="shared" si="18"/>
        <v>39441.561346598479</v>
      </c>
      <c r="L26" s="234">
        <f t="shared" si="18"/>
        <v>40033.184766797465</v>
      </c>
      <c r="M26" s="234">
        <f t="shared" si="18"/>
        <v>40633.682538299428</v>
      </c>
      <c r="N26" s="234">
        <f t="shared" si="18"/>
        <v>41243.187776373925</v>
      </c>
      <c r="O26" s="234">
        <f t="shared" si="18"/>
        <v>41861.835593019525</v>
      </c>
      <c r="P26" s="234">
        <f t="shared" si="18"/>
        <v>42489.763126914826</v>
      </c>
      <c r="Q26" s="235">
        <f t="shared" si="18"/>
        <v>43127.109573818532</v>
      </c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171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171"/>
      <c r="C28" s="3"/>
      <c r="D28" s="3"/>
      <c r="E28" s="23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171"/>
      <c r="C29" s="3"/>
      <c r="D29" s="3"/>
      <c r="E29" s="372" t="s">
        <v>127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171"/>
      <c r="C30" s="3"/>
      <c r="D30" s="3"/>
      <c r="E30" s="23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171"/>
      <c r="C31" s="3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171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171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171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171"/>
      <c r="C35" s="3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171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171"/>
      <c r="C37" s="3"/>
      <c r="D37" s="3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171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171"/>
      <c r="C39" s="3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171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171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171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171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171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171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171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171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171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171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171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171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171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171"/>
      <c r="C53" s="3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171"/>
      <c r="C54" s="3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171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</sheetData>
  <mergeCells count="7">
    <mergeCell ref="B2:C2"/>
    <mergeCell ref="B22:B23"/>
    <mergeCell ref="B4:B7"/>
    <mergeCell ref="B8:B11"/>
    <mergeCell ref="B12:B13"/>
    <mergeCell ref="B14:B15"/>
    <mergeCell ref="B16:B21"/>
  </mergeCells>
  <pageMargins left="0.7" right="0.7" top="0.75" bottom="0.75" header="0.3" footer="0.3"/>
  <pageSetup paperSize="9" orientation="portrait" r:id="rId1"/>
  <ignoredErrors>
    <ignoredError sqref="F19:F20 G19 E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7">
    <tabColor theme="7"/>
  </sheetPr>
  <dimension ref="A1:AO81"/>
  <sheetViews>
    <sheetView zoomScale="94" zoomScaleNormal="94" workbookViewId="0">
      <selection activeCell="B2" sqref="B2:O25"/>
    </sheetView>
  </sheetViews>
  <sheetFormatPr defaultRowHeight="15" x14ac:dyDescent="0.25"/>
  <cols>
    <col min="1" max="1" width="29.7109375" style="26" customWidth="1"/>
    <col min="2" max="2" width="37.42578125" style="26" customWidth="1"/>
    <col min="3" max="3" width="12" style="26" bestFit="1" customWidth="1"/>
    <col min="4" max="4" width="11.28515625" style="26" bestFit="1" customWidth="1"/>
    <col min="5" max="11" width="9.140625" style="26"/>
    <col min="12" max="12" width="9.42578125" style="26" customWidth="1"/>
    <col min="13" max="13" width="10.7109375" style="26" customWidth="1"/>
    <col min="14" max="14" width="10.28515625" style="26" customWidth="1"/>
    <col min="15" max="15" width="10.5703125" style="26" customWidth="1"/>
    <col min="16" max="16384" width="9.140625" style="26"/>
  </cols>
  <sheetData>
    <row r="1" spans="1:41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x14ac:dyDescent="0.25">
      <c r="A2" s="3"/>
      <c r="B2" s="239" t="s">
        <v>203</v>
      </c>
      <c r="C2" s="240"/>
      <c r="D2" s="241">
        <v>1</v>
      </c>
      <c r="E2" s="241">
        <v>2</v>
      </c>
      <c r="F2" s="241">
        <v>3</v>
      </c>
      <c r="G2" s="241">
        <v>4</v>
      </c>
      <c r="H2" s="241">
        <v>5</v>
      </c>
      <c r="I2" s="241">
        <v>6</v>
      </c>
      <c r="J2" s="241">
        <v>7</v>
      </c>
      <c r="K2" s="241">
        <v>8</v>
      </c>
      <c r="L2" s="241">
        <v>9</v>
      </c>
      <c r="M2" s="241">
        <v>10</v>
      </c>
      <c r="N2" s="241">
        <v>11</v>
      </c>
      <c r="O2" s="242">
        <v>12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x14ac:dyDescent="0.25">
      <c r="A3" s="3"/>
      <c r="B3" s="243" t="s">
        <v>38</v>
      </c>
      <c r="C3" s="244">
        <f>'ΚΟΣΤΟΣ ΕΠΕΝΔΥΣΗΣ'!E22</f>
        <v>2097875.4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4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x14ac:dyDescent="0.25">
      <c r="A4" s="3"/>
      <c r="B4" s="246" t="s">
        <v>204</v>
      </c>
      <c r="C4" s="247">
        <f>ΔΕΔΟΜΕΝΑ!D5</f>
        <v>0.5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4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x14ac:dyDescent="0.25">
      <c r="A5" s="3"/>
      <c r="B5" s="248" t="s">
        <v>39</v>
      </c>
      <c r="C5" s="249">
        <f>C3*C4</f>
        <v>1048937.7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4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x14ac:dyDescent="0.25">
      <c r="A6" s="3"/>
      <c r="B6" s="248" t="s">
        <v>40</v>
      </c>
      <c r="C6" s="250">
        <f>ΔΕΔΟΜΕΝΑ!E12</f>
        <v>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4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x14ac:dyDescent="0.25">
      <c r="A7" s="3"/>
      <c r="B7" s="248" t="s">
        <v>41</v>
      </c>
      <c r="C7" s="250"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4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x14ac:dyDescent="0.25">
      <c r="A8" s="3"/>
      <c r="B8" s="248" t="s">
        <v>42</v>
      </c>
      <c r="C8" s="395">
        <f>ΔΕΔΟΜΕΝΑ!E10</f>
        <v>3.7999999999999999E-2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4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5">
      <c r="A9" s="3"/>
      <c r="B9" s="248" t="s">
        <v>43</v>
      </c>
      <c r="C9" s="252">
        <f>C5*C7*C8</f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4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5">
      <c r="A10" s="3"/>
      <c r="B10" s="248" t="s">
        <v>44</v>
      </c>
      <c r="C10" s="252">
        <f>C5+C9</f>
        <v>1048937.7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4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5">
      <c r="A11" s="3"/>
      <c r="B11" s="253" t="s">
        <v>45</v>
      </c>
      <c r="C11" s="254">
        <f>SUM(D11:O11)</f>
        <v>-276743.61648558552</v>
      </c>
      <c r="D11" s="254">
        <f>IF(D2&lt;=$C$6,IPMT($C$8,D2,$C$6,$C$10,0),0)</f>
        <v>-39859.632599999997</v>
      </c>
      <c r="E11" s="254">
        <f t="shared" ref="E11:O11" si="0">IF(E2&lt;=$C$6,IPMT($C$8,E2,$C$6,$C$10,0),0)</f>
        <v>-37176.307803262302</v>
      </c>
      <c r="F11" s="254">
        <f t="shared" si="0"/>
        <v>-34391.016664248586</v>
      </c>
      <c r="G11" s="254">
        <f t="shared" si="0"/>
        <v>-31499.884461952344</v>
      </c>
      <c r="H11" s="254">
        <f t="shared" si="0"/>
        <v>-28498.889235968847</v>
      </c>
      <c r="I11" s="254">
        <f t="shared" si="0"/>
        <v>-25383.856191397983</v>
      </c>
      <c r="J11" s="254">
        <f t="shared" si="0"/>
        <v>-22150.451891133409</v>
      </c>
      <c r="K11" s="254">
        <f t="shared" si="0"/>
        <v>-18794.178227458797</v>
      </c>
      <c r="L11" s="254">
        <f t="shared" si="0"/>
        <v>-15310.366164564544</v>
      </c>
      <c r="M11" s="254">
        <f t="shared" si="0"/>
        <v>-11694.16924328031</v>
      </c>
      <c r="N11" s="254">
        <f t="shared" si="0"/>
        <v>-7940.5568389872751</v>
      </c>
      <c r="O11" s="255">
        <f t="shared" si="0"/>
        <v>-4044.3071633311051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x14ac:dyDescent="0.25">
      <c r="A12" s="3"/>
      <c r="B12" s="253" t="s">
        <v>46</v>
      </c>
      <c r="C12" s="254">
        <f>SUM(D12:O12)</f>
        <v>-1048937.6999999997</v>
      </c>
      <c r="D12" s="254">
        <f>D13-D11</f>
        <v>-70613.81044046543</v>
      </c>
      <c r="E12" s="254">
        <f t="shared" ref="E12:O12" si="1">E13-E11</f>
        <v>-73297.135237203125</v>
      </c>
      <c r="F12" s="254">
        <f t="shared" si="1"/>
        <v>-76082.426376216841</v>
      </c>
      <c r="G12" s="254">
        <f t="shared" si="1"/>
        <v>-78973.558578513082</v>
      </c>
      <c r="H12" s="254">
        <f t="shared" si="1"/>
        <v>-81974.55380449658</v>
      </c>
      <c r="I12" s="254">
        <f t="shared" si="1"/>
        <v>-85089.586849067447</v>
      </c>
      <c r="J12" s="254">
        <f t="shared" si="1"/>
        <v>-88322.991149332025</v>
      </c>
      <c r="K12" s="254">
        <f t="shared" si="1"/>
        <v>-91679.264813006623</v>
      </c>
      <c r="L12" s="254">
        <f t="shared" si="1"/>
        <v>-95163.076875900879</v>
      </c>
      <c r="M12" s="254">
        <f t="shared" si="1"/>
        <v>-98779.273797185117</v>
      </c>
      <c r="N12" s="254">
        <f t="shared" si="1"/>
        <v>-102532.88620147815</v>
      </c>
      <c r="O12" s="255">
        <f t="shared" si="1"/>
        <v>-106429.13587713432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x14ac:dyDescent="0.25">
      <c r="A13" s="3"/>
      <c r="B13" s="253" t="s">
        <v>47</v>
      </c>
      <c r="C13" s="254">
        <f>SUM(D13:O13)</f>
        <v>-1325681.3164855854</v>
      </c>
      <c r="D13" s="254">
        <f>IF(D2&lt;=$C$6,PMT($C$8,$C$6,$C$10,0,0),0)</f>
        <v>-110473.44304046543</v>
      </c>
      <c r="E13" s="254">
        <f t="shared" ref="E13:O13" si="2">IF(E2&lt;=$C$6,PMT($C$8,$C$6,$C$10,0,0),0)</f>
        <v>-110473.44304046543</v>
      </c>
      <c r="F13" s="254">
        <f t="shared" si="2"/>
        <v>-110473.44304046543</v>
      </c>
      <c r="G13" s="254">
        <f t="shared" si="2"/>
        <v>-110473.44304046543</v>
      </c>
      <c r="H13" s="254">
        <f t="shared" si="2"/>
        <v>-110473.44304046543</v>
      </c>
      <c r="I13" s="254">
        <f t="shared" si="2"/>
        <v>-110473.44304046543</v>
      </c>
      <c r="J13" s="254">
        <f t="shared" si="2"/>
        <v>-110473.44304046543</v>
      </c>
      <c r="K13" s="254">
        <f t="shared" si="2"/>
        <v>-110473.44304046543</v>
      </c>
      <c r="L13" s="254">
        <f t="shared" si="2"/>
        <v>-110473.44304046543</v>
      </c>
      <c r="M13" s="254">
        <f t="shared" si="2"/>
        <v>-110473.44304046543</v>
      </c>
      <c r="N13" s="254">
        <f t="shared" si="2"/>
        <v>-110473.44304046543</v>
      </c>
      <c r="O13" s="255">
        <f t="shared" si="2"/>
        <v>-110473.44304046543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x14ac:dyDescent="0.25">
      <c r="A14" s="3"/>
      <c r="B14" s="246" t="s">
        <v>205</v>
      </c>
      <c r="C14" s="247">
        <f>ΔΕΔΟΜΕΝΑ!D6</f>
        <v>0.5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4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5">
      <c r="A15" s="3"/>
      <c r="B15" s="248" t="s">
        <v>39</v>
      </c>
      <c r="C15" s="249">
        <f>C3*C14</f>
        <v>1048937.7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4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5">
      <c r="A16" s="3"/>
      <c r="B16" s="248" t="s">
        <v>40</v>
      </c>
      <c r="C16" s="250">
        <f>ΔΕΔΟΜΕΝΑ!E12</f>
        <v>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4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x14ac:dyDescent="0.25">
      <c r="A17" s="3"/>
      <c r="B17" s="248" t="s">
        <v>41</v>
      </c>
      <c r="C17" s="250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4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5">
      <c r="A18" s="3"/>
      <c r="B18" s="248" t="s">
        <v>42</v>
      </c>
      <c r="C18" s="395">
        <f>ΔΕΔΟΜΕΝΑ!E11</f>
        <v>4.4999999999999998E-2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4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x14ac:dyDescent="0.25">
      <c r="A19" s="3"/>
      <c r="B19" s="248" t="s">
        <v>43</v>
      </c>
      <c r="C19" s="252"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4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x14ac:dyDescent="0.25">
      <c r="A20" s="3"/>
      <c r="B20" s="248" t="s">
        <v>44</v>
      </c>
      <c r="C20" s="252">
        <f>C15+C19</f>
        <v>1048937.7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4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x14ac:dyDescent="0.25">
      <c r="A21" s="3"/>
      <c r="B21" s="253" t="s">
        <v>45</v>
      </c>
      <c r="C21" s="254">
        <f>SUM(D21:O21)</f>
        <v>-331458.29611355095</v>
      </c>
      <c r="D21" s="254">
        <f t="shared" ref="D21:O21" si="3">IF(D2&lt;=$C$16,IPMT($C$18,D2,$C$16,$C$20,0),0)</f>
        <v>-47202.196499999998</v>
      </c>
      <c r="E21" s="254">
        <f t="shared" si="3"/>
        <v>-44149.810357074181</v>
      </c>
      <c r="F21" s="254">
        <f t="shared" si="3"/>
        <v>-40960.066837716702</v>
      </c>
      <c r="G21" s="254">
        <f t="shared" si="3"/>
        <v>-37626.78485998814</v>
      </c>
      <c r="H21" s="254">
        <f t="shared" si="3"/>
        <v>-34143.505193261793</v>
      </c>
      <c r="I21" s="254">
        <f t="shared" si="3"/>
        <v>-30503.477941532754</v>
      </c>
      <c r="J21" s="254">
        <f t="shared" si="3"/>
        <v>-26699.649463475911</v>
      </c>
      <c r="K21" s="254">
        <f t="shared" si="3"/>
        <v>-22724.648703906521</v>
      </c>
      <c r="L21" s="254">
        <f t="shared" si="3"/>
        <v>-18570.772910156495</v>
      </c>
      <c r="M21" s="254">
        <f t="shared" si="3"/>
        <v>-14229.972705687718</v>
      </c>
      <c r="N21" s="254">
        <f t="shared" si="3"/>
        <v>-9693.8364920178519</v>
      </c>
      <c r="O21" s="255">
        <f t="shared" si="3"/>
        <v>-4953.5741487328378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x14ac:dyDescent="0.25">
      <c r="A22" s="3"/>
      <c r="B22" s="253" t="s">
        <v>46</v>
      </c>
      <c r="C22" s="254">
        <f>SUM(D22:O22)</f>
        <v>-1048937.7</v>
      </c>
      <c r="D22" s="254">
        <f>D23-D21</f>
        <v>-67830.803176129237</v>
      </c>
      <c r="E22" s="254">
        <f t="shared" ref="E22" si="4">E23-E21</f>
        <v>-70883.189319055047</v>
      </c>
      <c r="F22" s="254">
        <f t="shared" ref="F22" si="5">F23-F21</f>
        <v>-74072.932838412526</v>
      </c>
      <c r="G22" s="254">
        <f t="shared" ref="G22" si="6">G23-G21</f>
        <v>-77406.214816141088</v>
      </c>
      <c r="H22" s="254">
        <f t="shared" ref="H22" si="7">H23-H21</f>
        <v>-80889.494482867434</v>
      </c>
      <c r="I22" s="254">
        <f t="shared" ref="I22" si="8">I23-I21</f>
        <v>-84529.521734596477</v>
      </c>
      <c r="J22" s="254">
        <f t="shared" ref="J22" si="9">J23-J21</f>
        <v>-88333.350212653313</v>
      </c>
      <c r="K22" s="254">
        <f t="shared" ref="K22" si="10">K23-K21</f>
        <v>-92308.350972222703</v>
      </c>
      <c r="L22" s="254">
        <f t="shared" ref="L22" si="11">L23-L21</f>
        <v>-96462.226765972737</v>
      </c>
      <c r="M22" s="254">
        <f t="shared" ref="M22:O22" si="12">M23-M21</f>
        <v>-100803.02697044151</v>
      </c>
      <c r="N22" s="254">
        <f t="shared" si="12"/>
        <v>-105339.16318411137</v>
      </c>
      <c r="O22" s="255">
        <f t="shared" si="12"/>
        <v>-110079.42552739639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x14ac:dyDescent="0.25">
      <c r="A23" s="3"/>
      <c r="B23" s="253" t="s">
        <v>47</v>
      </c>
      <c r="C23" s="254">
        <f>SUM(D23:O23)</f>
        <v>-1380395.9961135508</v>
      </c>
      <c r="D23" s="254">
        <f>IF(D2&lt;=$C$16,PMT($C$18,$C$16,$C$20,0,0),0)</f>
        <v>-115032.99967612923</v>
      </c>
      <c r="E23" s="254">
        <f t="shared" ref="E23:O23" si="13">IF(E2&lt;=$C$16,PMT($C$18,$C$16,$C$20,0,0),0)</f>
        <v>-115032.99967612923</v>
      </c>
      <c r="F23" s="254">
        <f t="shared" si="13"/>
        <v>-115032.99967612923</v>
      </c>
      <c r="G23" s="254">
        <f t="shared" si="13"/>
        <v>-115032.99967612923</v>
      </c>
      <c r="H23" s="254">
        <f t="shared" si="13"/>
        <v>-115032.99967612923</v>
      </c>
      <c r="I23" s="254">
        <f t="shared" si="13"/>
        <v>-115032.99967612923</v>
      </c>
      <c r="J23" s="254">
        <f t="shared" si="13"/>
        <v>-115032.99967612923</v>
      </c>
      <c r="K23" s="254">
        <f t="shared" si="13"/>
        <v>-115032.99967612923</v>
      </c>
      <c r="L23" s="254">
        <f t="shared" si="13"/>
        <v>-115032.99967612923</v>
      </c>
      <c r="M23" s="254">
        <f t="shared" si="13"/>
        <v>-115032.99967612923</v>
      </c>
      <c r="N23" s="254">
        <f t="shared" si="13"/>
        <v>-115032.99967612923</v>
      </c>
      <c r="O23" s="255">
        <f t="shared" si="13"/>
        <v>-115032.99967612923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17.25" customHeight="1" x14ac:dyDescent="0.25">
      <c r="A24" s="3"/>
      <c r="B24" s="246" t="s">
        <v>58</v>
      </c>
      <c r="C24" s="247">
        <f>ΔΕΔΟΜΕΝΑ!D7</f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45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ht="15.75" thickBot="1" x14ac:dyDescent="0.3">
      <c r="A25" s="3"/>
      <c r="B25" s="256" t="s">
        <v>57</v>
      </c>
      <c r="C25" s="257">
        <f>C24*C3</f>
        <v>0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1:4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4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4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4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4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4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4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4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4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4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H79"/>
  <sheetViews>
    <sheetView zoomScale="95" zoomScaleNormal="95" workbookViewId="0">
      <selection activeCell="G21" sqref="G21"/>
    </sheetView>
  </sheetViews>
  <sheetFormatPr defaultRowHeight="15" x14ac:dyDescent="0.25"/>
  <cols>
    <col min="1" max="1" width="29.7109375" style="26" customWidth="1"/>
    <col min="2" max="2" width="31" style="26" customWidth="1"/>
    <col min="3" max="14" width="11.28515625" style="26" customWidth="1"/>
    <col min="15" max="16384" width="9.140625" style="26"/>
  </cols>
  <sheetData>
    <row r="1" spans="1:34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157" customFormat="1" x14ac:dyDescent="0.25">
      <c r="A2" s="4"/>
      <c r="B2" s="260" t="s">
        <v>92</v>
      </c>
      <c r="C2" s="261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25">
      <c r="A3" s="4"/>
      <c r="B3" s="264" t="s">
        <v>19</v>
      </c>
      <c r="C3" s="265">
        <v>1</v>
      </c>
      <c r="D3" s="265">
        <v>2</v>
      </c>
      <c r="E3" s="265">
        <v>3</v>
      </c>
      <c r="F3" s="265">
        <v>4</v>
      </c>
      <c r="G3" s="265">
        <v>5</v>
      </c>
      <c r="H3" s="265">
        <v>6</v>
      </c>
      <c r="I3" s="265">
        <v>7</v>
      </c>
      <c r="J3" s="265">
        <v>8</v>
      </c>
      <c r="K3" s="265">
        <v>9</v>
      </c>
      <c r="L3" s="265">
        <v>10</v>
      </c>
      <c r="M3" s="265">
        <v>11</v>
      </c>
      <c r="N3" s="266">
        <v>12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5">
      <c r="A4" s="4"/>
      <c r="B4" s="267" t="s">
        <v>79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9"/>
      <c r="N4" s="27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5">
      <c r="A5" s="4"/>
      <c r="B5" s="271" t="s">
        <v>218</v>
      </c>
      <c r="C5" s="272">
        <f>'ΧΡΗΜ. ΑΝΑΛΥΣΗ'!F15</f>
        <v>312606.65310525009</v>
      </c>
      <c r="D5" s="272">
        <f>'ΧΡΗΜ. ΑΝΑΛΥΣΗ'!G15</f>
        <v>315732.71963630256</v>
      </c>
      <c r="E5" s="272">
        <f>'ΧΡΗΜ. ΑΝΑΛΥΣΗ'!H15</f>
        <v>318890.04683266557</v>
      </c>
      <c r="F5" s="272">
        <f>'ΧΡΗΜ. ΑΝΑΛΥΣΗ'!I15</f>
        <v>322078.94730099227</v>
      </c>
      <c r="G5" s="272">
        <f>'ΧΡΗΜ. ΑΝΑΛΥΣΗ'!J15</f>
        <v>325299.7367740022</v>
      </c>
      <c r="H5" s="272">
        <f>'ΧΡΗΜ. ΑΝΑΛΥΣΗ'!K15</f>
        <v>328552.73414174223</v>
      </c>
      <c r="I5" s="272">
        <f>'ΧΡΗΜ. ΑΝΑΛΥΣΗ'!L15</f>
        <v>331838.26148315961</v>
      </c>
      <c r="J5" s="272">
        <f>'ΧΡΗΜ. ΑΝΑΛΥΣΗ'!M15</f>
        <v>335156.64409799117</v>
      </c>
      <c r="K5" s="272">
        <f>'ΧΡΗΜ. ΑΝΑΛΥΣΗ'!N15</f>
        <v>338508.21053897112</v>
      </c>
      <c r="L5" s="272">
        <f>'ΧΡΗΜ. ΑΝΑΛΥΣΗ'!O15</f>
        <v>341893.29264436086</v>
      </c>
      <c r="M5" s="272">
        <f>'ΧΡΗΜ. ΑΝΑΛΥΣΗ'!P15</f>
        <v>345312.22557080444</v>
      </c>
      <c r="N5" s="273">
        <f>'ΧΡΗΜ. ΑΝΑΛΥΣΗ'!Q15</f>
        <v>348765.34782651247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5">
      <c r="A6" s="4"/>
      <c r="B6" s="274" t="s">
        <v>80</v>
      </c>
      <c r="C6" s="275">
        <f>C5</f>
        <v>312606.65310525009</v>
      </c>
      <c r="D6" s="275">
        <f t="shared" ref="D6:N6" si="0">D5</f>
        <v>315732.71963630256</v>
      </c>
      <c r="E6" s="275">
        <f t="shared" si="0"/>
        <v>318890.04683266557</v>
      </c>
      <c r="F6" s="275">
        <f t="shared" si="0"/>
        <v>322078.94730099227</v>
      </c>
      <c r="G6" s="275">
        <f t="shared" si="0"/>
        <v>325299.7367740022</v>
      </c>
      <c r="H6" s="275">
        <f t="shared" si="0"/>
        <v>328552.73414174223</v>
      </c>
      <c r="I6" s="275">
        <f t="shared" si="0"/>
        <v>331838.26148315961</v>
      </c>
      <c r="J6" s="275">
        <f t="shared" si="0"/>
        <v>335156.64409799117</v>
      </c>
      <c r="K6" s="275">
        <f t="shared" si="0"/>
        <v>338508.21053897112</v>
      </c>
      <c r="L6" s="275">
        <f t="shared" si="0"/>
        <v>341893.29264436086</v>
      </c>
      <c r="M6" s="275">
        <f t="shared" si="0"/>
        <v>345312.22557080444</v>
      </c>
      <c r="N6" s="276">
        <f t="shared" si="0"/>
        <v>348765.34782651247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5">
      <c r="A7" s="4"/>
      <c r="B7" s="271" t="s">
        <v>81</v>
      </c>
      <c r="C7" s="272">
        <f>-ΔΕΔΟΜΕΝΑ!$J16</f>
        <v>-24000</v>
      </c>
      <c r="D7" s="272">
        <f>-ΔΕΔΟΜΕΝΑ!$J16</f>
        <v>-24000</v>
      </c>
      <c r="E7" s="272">
        <f>-ΔΕΔΟΜΕΝΑ!$J16</f>
        <v>-24000</v>
      </c>
      <c r="F7" s="272">
        <f>-ΔΕΔΟΜΕΝΑ!$J16</f>
        <v>-24000</v>
      </c>
      <c r="G7" s="272">
        <f>-ΔΕΔΟΜΕΝΑ!$J16</f>
        <v>-24000</v>
      </c>
      <c r="H7" s="272">
        <f>-ΔΕΔΟΜΕΝΑ!$J16</f>
        <v>-24000</v>
      </c>
      <c r="I7" s="272">
        <f>-ΔΕΔΟΜΕΝΑ!$J16</f>
        <v>-24000</v>
      </c>
      <c r="J7" s="272">
        <f>-ΔΕΔΟΜΕΝΑ!$J16</f>
        <v>-24000</v>
      </c>
      <c r="K7" s="272">
        <f>-ΔΕΔΟΜΕΝΑ!$J16</f>
        <v>-24000</v>
      </c>
      <c r="L7" s="272">
        <f>-ΔΕΔΟΜΕΝΑ!$J16</f>
        <v>-24000</v>
      </c>
      <c r="M7" s="272">
        <f>-ΔΕΔΟΜΕΝΑ!$J16</f>
        <v>-24000</v>
      </c>
      <c r="N7" s="273">
        <f>-ΔΕΔΟΜΕΝΑ!$J16</f>
        <v>-24000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5">
      <c r="A8" s="4"/>
      <c r="B8" s="274" t="s">
        <v>82</v>
      </c>
      <c r="C8" s="275">
        <f>C6+C7</f>
        <v>288606.65310525009</v>
      </c>
      <c r="D8" s="275">
        <f t="shared" ref="D8:N8" si="1">D6+D7</f>
        <v>291732.71963630256</v>
      </c>
      <c r="E8" s="275">
        <f t="shared" si="1"/>
        <v>294890.04683266557</v>
      </c>
      <c r="F8" s="275">
        <f t="shared" si="1"/>
        <v>298078.94730099227</v>
      </c>
      <c r="G8" s="275">
        <f t="shared" si="1"/>
        <v>301299.7367740022</v>
      </c>
      <c r="H8" s="275">
        <f t="shared" si="1"/>
        <v>304552.73414174223</v>
      </c>
      <c r="I8" s="275">
        <f t="shared" si="1"/>
        <v>307838.26148315961</v>
      </c>
      <c r="J8" s="275">
        <f t="shared" si="1"/>
        <v>311156.64409799117</v>
      </c>
      <c r="K8" s="275">
        <f t="shared" si="1"/>
        <v>314508.21053897112</v>
      </c>
      <c r="L8" s="275">
        <f t="shared" si="1"/>
        <v>317893.29264436086</v>
      </c>
      <c r="M8" s="275">
        <f t="shared" si="1"/>
        <v>321312.22557080444</v>
      </c>
      <c r="N8" s="276">
        <f t="shared" si="1"/>
        <v>324765.34782651247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4"/>
      <c r="B9" s="271" t="s">
        <v>83</v>
      </c>
      <c r="C9" s="272">
        <f>-ΔΕΔΟΜΕΝΑ!$J19-ΔΕΔΟΜΕΝΑ!J20</f>
        <v>-61662.5</v>
      </c>
      <c r="D9" s="272">
        <f>-ΔΕΔΟΜΕΝΑ!$J19-ΔΕΔΟΜΕΝΑ!K20</f>
        <v>-48000</v>
      </c>
      <c r="E9" s="272">
        <f>-ΔΕΔΟΜΕΝΑ!$J19-ΔΕΔΟΜΕΝΑ!L20</f>
        <v>-48000</v>
      </c>
      <c r="F9" s="272">
        <f>-ΔΕΔΟΜΕΝΑ!$J19-ΔΕΔΟΜΕΝΑ!M20</f>
        <v>-48000</v>
      </c>
      <c r="G9" s="272">
        <f>-ΔΕΔΟΜΕΝΑ!$J19-ΔΕΔΟΜΕΝΑ!N20</f>
        <v>-48000</v>
      </c>
      <c r="H9" s="272">
        <f>-ΔΕΔΟΜΕΝΑ!$J19-ΔΕΔΟΜΕΝΑ!O20</f>
        <v>-48000</v>
      </c>
      <c r="I9" s="272">
        <f>-ΔΕΔΟΜΕΝΑ!$J19-ΔΕΔΟΜΕΝΑ!P20</f>
        <v>-48000</v>
      </c>
      <c r="J9" s="272">
        <f>-ΔΕΔΟΜΕΝΑ!$J19-ΔΕΔΟΜΕΝΑ!Q20</f>
        <v>-48000</v>
      </c>
      <c r="K9" s="272">
        <f>-ΔΕΔΟΜΕΝΑ!$J19-ΔΕΔΟΜΕΝΑ!R20</f>
        <v>-48000</v>
      </c>
      <c r="L9" s="272">
        <f>-ΔΕΔΟΜΕΝΑ!$J19-ΔΕΔΟΜΕΝΑ!S20</f>
        <v>-48000</v>
      </c>
      <c r="M9" s="272">
        <f>-ΔΕΔΟΜΕΝΑ!$J19-ΔΕΔΟΜΕΝΑ!T20</f>
        <v>-48000</v>
      </c>
      <c r="N9" s="273">
        <f>-ΔΕΔΟΜΕΝΑ!$J19-ΔΕΔΟΜΕΝΑ!J20</f>
        <v>-61662.5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A10" s="4"/>
      <c r="B10" s="271" t="s">
        <v>84</v>
      </c>
      <c r="C10" s="272">
        <v>0</v>
      </c>
      <c r="D10" s="272">
        <v>0</v>
      </c>
      <c r="E10" s="272">
        <v>0</v>
      </c>
      <c r="F10" s="272">
        <v>0</v>
      </c>
      <c r="G10" s="272">
        <v>0</v>
      </c>
      <c r="H10" s="272">
        <v>0</v>
      </c>
      <c r="I10" s="272">
        <v>0</v>
      </c>
      <c r="J10" s="272">
        <v>0</v>
      </c>
      <c r="K10" s="272">
        <v>0</v>
      </c>
      <c r="L10" s="272">
        <v>0</v>
      </c>
      <c r="M10" s="272">
        <v>0</v>
      </c>
      <c r="N10" s="273"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A11" s="4"/>
      <c r="B11" s="274" t="s">
        <v>85</v>
      </c>
      <c r="C11" s="275">
        <f>C8+C9</f>
        <v>226944.15310525009</v>
      </c>
      <c r="D11" s="275">
        <f t="shared" ref="D11:N11" si="2">D8+D9</f>
        <v>243732.71963630256</v>
      </c>
      <c r="E11" s="275">
        <f t="shared" si="2"/>
        <v>246890.04683266557</v>
      </c>
      <c r="F11" s="275">
        <f t="shared" si="2"/>
        <v>250078.94730099227</v>
      </c>
      <c r="G11" s="275">
        <f t="shared" si="2"/>
        <v>253299.7367740022</v>
      </c>
      <c r="H11" s="275">
        <f t="shared" si="2"/>
        <v>256552.73414174223</v>
      </c>
      <c r="I11" s="275">
        <f t="shared" si="2"/>
        <v>259838.26148315961</v>
      </c>
      <c r="J11" s="275">
        <f t="shared" si="2"/>
        <v>263156.64409799117</v>
      </c>
      <c r="K11" s="275">
        <f t="shared" si="2"/>
        <v>266508.21053897112</v>
      </c>
      <c r="L11" s="275">
        <f t="shared" si="2"/>
        <v>269893.29264436086</v>
      </c>
      <c r="M11" s="275">
        <f t="shared" si="2"/>
        <v>273312.22557080444</v>
      </c>
      <c r="N11" s="276">
        <f t="shared" si="2"/>
        <v>263102.84782651247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25">
      <c r="A12" s="4"/>
      <c r="B12" s="271" t="s">
        <v>86</v>
      </c>
      <c r="C12" s="272">
        <f>(ΔΑΝΕΙΑ!D21+ΔΑΝΕΙΑ!D11)</f>
        <v>-87061.829100000003</v>
      </c>
      <c r="D12" s="272">
        <f>(ΔΑΝΕΙΑ!E21+ΔΑΝΕΙΑ!E11)</f>
        <v>-81326.118160336482</v>
      </c>
      <c r="E12" s="272">
        <f>(ΔΑΝΕΙΑ!F21+ΔΑΝΕΙΑ!F11)</f>
        <v>-75351.083501965288</v>
      </c>
      <c r="F12" s="272">
        <f>(ΔΑΝΕΙΑ!G21+ΔΑΝΕΙΑ!G11)</f>
        <v>-69126.669321940484</v>
      </c>
      <c r="G12" s="272">
        <f>(ΔΑΝΕΙΑ!H21+ΔΑΝΕΙΑ!H11)</f>
        <v>-62642.394429230641</v>
      </c>
      <c r="H12" s="272">
        <f>(ΔΑΝΕΙΑ!I21+ΔΑΝΕΙΑ!I11)</f>
        <v>-55887.334132930737</v>
      </c>
      <c r="I12" s="272">
        <f>(ΔΑΝΕΙΑ!J21+ΔΑΝΕΙΑ!J11)</f>
        <v>-48850.101354609316</v>
      </c>
      <c r="J12" s="272">
        <f>(ΔΑΝΕΙΑ!K21+ΔΑΝΕΙΑ!K11)</f>
        <v>-41518.826931365315</v>
      </c>
      <c r="K12" s="272">
        <f>(ΔΑΝΕΙΑ!L21+ΔΑΝΕΙΑ!L11)</f>
        <v>-33881.139074721039</v>
      </c>
      <c r="L12" s="272">
        <f>(ΔΑΝΕΙΑ!M21+ΔΑΝΕΙΑ!M11)</f>
        <v>-25924.141948968027</v>
      </c>
      <c r="M12" s="272">
        <f>(ΔΑΝΕΙΑ!N21+ΔΑΝΕΙΑ!N11)</f>
        <v>-17634.393331005129</v>
      </c>
      <c r="N12" s="273">
        <f>(ΔΑΝΕΙΑ!O21+ΔΑΝΕΙΑ!O11)</f>
        <v>-8997.8813120639425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4"/>
      <c r="B13" s="271" t="s">
        <v>87</v>
      </c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7"/>
      <c r="N13" s="27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5">
      <c r="A14" s="4"/>
      <c r="B14" s="274" t="s">
        <v>88</v>
      </c>
      <c r="C14" s="275">
        <f>C11+C12</f>
        <v>139882.32400525009</v>
      </c>
      <c r="D14" s="275">
        <f t="shared" ref="D14:N14" si="3">D11+D12</f>
        <v>162406.60147596608</v>
      </c>
      <c r="E14" s="275">
        <f t="shared" si="3"/>
        <v>171538.9633307003</v>
      </c>
      <c r="F14" s="275">
        <f t="shared" si="3"/>
        <v>180952.27797905178</v>
      </c>
      <c r="G14" s="275">
        <f t="shared" si="3"/>
        <v>190657.34234477155</v>
      </c>
      <c r="H14" s="275">
        <f t="shared" si="3"/>
        <v>200665.4000088115</v>
      </c>
      <c r="I14" s="275">
        <f t="shared" si="3"/>
        <v>210988.16012855031</v>
      </c>
      <c r="J14" s="275">
        <f t="shared" si="3"/>
        <v>221637.81716662587</v>
      </c>
      <c r="K14" s="275">
        <f t="shared" si="3"/>
        <v>232627.0714642501</v>
      </c>
      <c r="L14" s="275">
        <f t="shared" si="3"/>
        <v>243969.15069539283</v>
      </c>
      <c r="M14" s="275">
        <f t="shared" si="3"/>
        <v>255677.83223979932</v>
      </c>
      <c r="N14" s="276">
        <f t="shared" si="3"/>
        <v>254104.96651444852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4"/>
      <c r="B15" s="279" t="s">
        <v>89</v>
      </c>
      <c r="C15" s="280">
        <f>C14/C5</f>
        <v>0.44747071956320056</v>
      </c>
      <c r="D15" s="280">
        <f t="shared" ref="D15:N15" si="4">D14/D5</f>
        <v>0.51438001630950625</v>
      </c>
      <c r="E15" s="280">
        <f t="shared" si="4"/>
        <v>0.5379251094052292</v>
      </c>
      <c r="F15" s="280">
        <f t="shared" si="4"/>
        <v>0.56182584889644016</v>
      </c>
      <c r="G15" s="280">
        <f t="shared" si="4"/>
        <v>0.58609743812128656</v>
      </c>
      <c r="H15" s="280">
        <f t="shared" si="4"/>
        <v>0.61075553223745704</v>
      </c>
      <c r="I15" s="280">
        <f t="shared" si="4"/>
        <v>0.63581625333237135</v>
      </c>
      <c r="J15" s="280">
        <f t="shared" si="4"/>
        <v>0.66129620602665029</v>
      </c>
      <c r="K15" s="280">
        <f t="shared" si="4"/>
        <v>0.68721249358726755</v>
      </c>
      <c r="L15" s="280">
        <f t="shared" si="4"/>
        <v>0.71358273456733412</v>
      </c>
      <c r="M15" s="280">
        <f t="shared" si="4"/>
        <v>0.74042507999003337</v>
      </c>
      <c r="N15" s="281">
        <f t="shared" si="4"/>
        <v>0.7285843278239007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4"/>
      <c r="B16" s="271" t="s">
        <v>90</v>
      </c>
      <c r="C16" s="272">
        <v>0</v>
      </c>
      <c r="D16" s="272">
        <v>0</v>
      </c>
      <c r="E16" s="272">
        <v>0</v>
      </c>
      <c r="F16" s="272">
        <v>0</v>
      </c>
      <c r="G16" s="272">
        <v>0</v>
      </c>
      <c r="H16" s="272"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3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75" thickBot="1" x14ac:dyDescent="0.3">
      <c r="A17" s="4"/>
      <c r="B17" s="282" t="s">
        <v>91</v>
      </c>
      <c r="C17" s="283">
        <f>C14-C16</f>
        <v>139882.32400525009</v>
      </c>
      <c r="D17" s="283">
        <f t="shared" ref="D17:N17" si="5">D14-D16</f>
        <v>162406.60147596608</v>
      </c>
      <c r="E17" s="283">
        <f t="shared" si="5"/>
        <v>171538.9633307003</v>
      </c>
      <c r="F17" s="283">
        <f t="shared" si="5"/>
        <v>180952.27797905178</v>
      </c>
      <c r="G17" s="283">
        <f t="shared" si="5"/>
        <v>190657.34234477155</v>
      </c>
      <c r="H17" s="283">
        <f t="shared" si="5"/>
        <v>200665.4000088115</v>
      </c>
      <c r="I17" s="283">
        <f t="shared" si="5"/>
        <v>210988.16012855031</v>
      </c>
      <c r="J17" s="283">
        <f t="shared" si="5"/>
        <v>221637.81716662587</v>
      </c>
      <c r="K17" s="283">
        <f t="shared" si="5"/>
        <v>232627.0714642501</v>
      </c>
      <c r="L17" s="283">
        <f t="shared" si="5"/>
        <v>243969.15069539283</v>
      </c>
      <c r="M17" s="283">
        <f t="shared" si="5"/>
        <v>255677.83223979932</v>
      </c>
      <c r="N17" s="284">
        <f t="shared" si="5"/>
        <v>254104.96651444852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x14ac:dyDescent="0.25">
      <c r="A79" s="23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8">
    <tabColor theme="7"/>
  </sheetPr>
  <dimension ref="A1:AQ204"/>
  <sheetViews>
    <sheetView zoomScale="93" zoomScaleNormal="93" workbookViewId="0">
      <selection activeCell="O20" sqref="O20"/>
    </sheetView>
  </sheetViews>
  <sheetFormatPr defaultRowHeight="15" x14ac:dyDescent="0.25"/>
  <cols>
    <col min="1" max="1" width="29.7109375" style="3" customWidth="1"/>
    <col min="2" max="2" width="30.140625" style="26" customWidth="1"/>
    <col min="3" max="4" width="11.85546875" style="26" bestFit="1" customWidth="1"/>
    <col min="5" max="5" width="10.5703125" style="26" customWidth="1"/>
    <col min="6" max="8" width="9.85546875" style="26" bestFit="1" customWidth="1"/>
    <col min="9" max="9" width="10.5703125" style="26" customWidth="1"/>
    <col min="10" max="13" width="9.85546875" style="26" bestFit="1" customWidth="1"/>
    <col min="14" max="14" width="9.28515625" style="26" bestFit="1" customWidth="1"/>
    <col min="15" max="15" width="9.5703125" style="26" bestFit="1" customWidth="1"/>
    <col min="16" max="16" width="3.28515625" style="3" customWidth="1"/>
    <col min="17" max="43" width="9.140625" style="3"/>
    <col min="44" max="16384" width="9.140625" style="26"/>
  </cols>
  <sheetData>
    <row r="1" spans="2:15" s="3" customFormat="1" ht="15.75" thickBot="1" x14ac:dyDescent="0.3"/>
    <row r="2" spans="2:15" x14ac:dyDescent="0.25">
      <c r="B2" s="239" t="s">
        <v>74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85"/>
    </row>
    <row r="3" spans="2:15" x14ac:dyDescent="0.25">
      <c r="B3" s="286" t="s">
        <v>19</v>
      </c>
      <c r="C3" s="287">
        <v>0</v>
      </c>
      <c r="D3" s="288">
        <v>1</v>
      </c>
      <c r="E3" s="288">
        <v>2</v>
      </c>
      <c r="F3" s="288">
        <v>3</v>
      </c>
      <c r="G3" s="288">
        <v>4</v>
      </c>
      <c r="H3" s="288">
        <v>5</v>
      </c>
      <c r="I3" s="288">
        <v>6</v>
      </c>
      <c r="J3" s="288">
        <v>7</v>
      </c>
      <c r="K3" s="288">
        <v>8</v>
      </c>
      <c r="L3" s="288">
        <v>9</v>
      </c>
      <c r="M3" s="288">
        <v>10</v>
      </c>
      <c r="N3" s="288">
        <v>11</v>
      </c>
      <c r="O3" s="289">
        <v>12</v>
      </c>
    </row>
    <row r="4" spans="2:15" x14ac:dyDescent="0.25">
      <c r="B4" s="290" t="s">
        <v>20</v>
      </c>
      <c r="C4" s="291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157"/>
      <c r="O4" s="293"/>
    </row>
    <row r="5" spans="2:15" x14ac:dyDescent="0.25">
      <c r="B5" s="294" t="s">
        <v>219</v>
      </c>
      <c r="C5" s="295"/>
      <c r="D5" s="296">
        <f>'ΧΡΗΜ. ΑΝΑΛΥΣΗ'!F15</f>
        <v>312606.65310525009</v>
      </c>
      <c r="E5" s="296">
        <f>'ΧΡΗΜ. ΑΝΑΛΥΣΗ'!G15</f>
        <v>315732.71963630256</v>
      </c>
      <c r="F5" s="296">
        <f>'ΧΡΗΜ. ΑΝΑΛΥΣΗ'!H15</f>
        <v>318890.04683266557</v>
      </c>
      <c r="G5" s="296">
        <f>'ΧΡΗΜ. ΑΝΑΛΥΣΗ'!I15</f>
        <v>322078.94730099227</v>
      </c>
      <c r="H5" s="296">
        <f>'ΧΡΗΜ. ΑΝΑΛΥΣΗ'!J15</f>
        <v>325299.7367740022</v>
      </c>
      <c r="I5" s="296">
        <f>'ΧΡΗΜ. ΑΝΑΛΥΣΗ'!K15</f>
        <v>328552.73414174223</v>
      </c>
      <c r="J5" s="296">
        <f>'ΧΡΗΜ. ΑΝΑΛΥΣΗ'!L15</f>
        <v>331838.26148315961</v>
      </c>
      <c r="K5" s="296">
        <f>'ΧΡΗΜ. ΑΝΑΛΥΣΗ'!M15</f>
        <v>335156.64409799117</v>
      </c>
      <c r="L5" s="296">
        <f>'ΧΡΗΜ. ΑΝΑΛΥΣΗ'!N15</f>
        <v>338508.21053897112</v>
      </c>
      <c r="M5" s="296">
        <f>'ΧΡΗΜ. ΑΝΑΛΥΣΗ'!O15</f>
        <v>341893.29264436086</v>
      </c>
      <c r="N5" s="296">
        <f>'ΧΡΗΜ. ΑΝΑΛΥΣΗ'!P15</f>
        <v>345312.22557080444</v>
      </c>
      <c r="O5" s="297">
        <f>'ΧΡΗΜ. ΑΝΑΛΥΣΗ'!Q15</f>
        <v>348765.34782651247</v>
      </c>
    </row>
    <row r="6" spans="2:15" x14ac:dyDescent="0.25">
      <c r="B6" s="294" t="s">
        <v>59</v>
      </c>
      <c r="C6" s="295"/>
      <c r="D6" s="296">
        <f>'ΧΡΗΜ. ΑΝΑΛΥΣΗ'!F8+'ΧΡΗΜ. ΑΝΑΛΥΣΗ'!F10</f>
        <v>85662.5</v>
      </c>
      <c r="E6" s="296">
        <f>'ΧΡΗΜ. ΑΝΑΛΥΣΗ'!G8+'ΧΡΗΜ. ΑΝΑΛΥΣΗ'!G10</f>
        <v>86947.4375</v>
      </c>
      <c r="F6" s="296">
        <f>'ΧΡΗΜ. ΑΝΑΛΥΣΗ'!H8+'ΧΡΗΜ. ΑΝΑΛΥΣΗ'!H10</f>
        <v>88251.649062500001</v>
      </c>
      <c r="G6" s="296">
        <f>'ΧΡΗΜ. ΑΝΑΛΥΣΗ'!I8+'ΧΡΗΜ. ΑΝΑΛΥΣΗ'!I10</f>
        <v>89575.423798437492</v>
      </c>
      <c r="H6" s="296">
        <f>'ΧΡΗΜ. ΑΝΑΛΥΣΗ'!J8+'ΧΡΗΜ. ΑΝΑΛΥΣΗ'!J10</f>
        <v>90919.055155414055</v>
      </c>
      <c r="I6" s="296">
        <f>'ΧΡΗΜ. ΑΝΑΛΥΣΗ'!K8+'ΧΡΗΜ. ΑΝΑΛΥΣΗ'!K10</f>
        <v>92282.840982745271</v>
      </c>
      <c r="J6" s="296">
        <f>'ΧΡΗΜ. ΑΝΑΛΥΣΗ'!L8+'ΧΡΗΜ. ΑΝΑΛΥΣΗ'!L10</f>
        <v>93667.083597486446</v>
      </c>
      <c r="K6" s="296">
        <f>'ΧΡΗΜ. ΑΝΑΛΥΣΗ'!M8+'ΧΡΗΜ. ΑΝΑΛΥΣΗ'!M10</f>
        <v>95072.089851448734</v>
      </c>
      <c r="L6" s="296">
        <f>'ΧΡΗΜ. ΑΝΑΛΥΣΗ'!N8+'ΧΡΗΜ. ΑΝΑΛΥΣΗ'!N10</f>
        <v>96498.171199220465</v>
      </c>
      <c r="M6" s="296">
        <f>'ΧΡΗΜ. ΑΝΑΛΥΣΗ'!O8+'ΧΡΗΜ. ΑΝΑΛΥΣΗ'!O10</f>
        <v>97945.643767208763</v>
      </c>
      <c r="N6" s="296">
        <f>'ΧΡΗΜ. ΑΝΑΛΥΣΗ'!P8+'ΧΡΗΜ. ΑΝΑΛΥΣΗ'!P10</f>
        <v>99414.828423716899</v>
      </c>
      <c r="O6" s="297">
        <f>'ΧΡΗΜ. ΑΝΑΛΥΣΗ'!Q8+'ΧΡΗΜ. ΑΝΑΛΥΣΗ'!Q10</f>
        <v>100906.05085007266</v>
      </c>
    </row>
    <row r="7" spans="2:15" ht="25.5" x14ac:dyDescent="0.25">
      <c r="B7" s="298" t="s">
        <v>21</v>
      </c>
      <c r="C7" s="299"/>
      <c r="D7" s="300">
        <f>D5-D6</f>
        <v>226944.15310525009</v>
      </c>
      <c r="E7" s="300">
        <f t="shared" ref="E7:M7" si="0">E5-E6</f>
        <v>228785.28213630256</v>
      </c>
      <c r="F7" s="300">
        <f t="shared" si="0"/>
        <v>230638.39777016558</v>
      </c>
      <c r="G7" s="300">
        <f t="shared" si="0"/>
        <v>232503.52350255477</v>
      </c>
      <c r="H7" s="300">
        <f t="shared" si="0"/>
        <v>234380.68161858816</v>
      </c>
      <c r="I7" s="300">
        <f t="shared" si="0"/>
        <v>236269.89315899694</v>
      </c>
      <c r="J7" s="300">
        <f t="shared" si="0"/>
        <v>238171.17788567318</v>
      </c>
      <c r="K7" s="300">
        <f t="shared" si="0"/>
        <v>240084.55424654245</v>
      </c>
      <c r="L7" s="300">
        <f t="shared" si="0"/>
        <v>242010.03933975066</v>
      </c>
      <c r="M7" s="300">
        <f t="shared" si="0"/>
        <v>243947.6488771521</v>
      </c>
      <c r="N7" s="300">
        <f t="shared" ref="N7:O7" si="1">N5-N6</f>
        <v>245897.39714708755</v>
      </c>
      <c r="O7" s="301">
        <f t="shared" si="1"/>
        <v>247859.29697643983</v>
      </c>
    </row>
    <row r="8" spans="2:15" x14ac:dyDescent="0.25">
      <c r="B8" s="302" t="s">
        <v>22</v>
      </c>
      <c r="C8" s="291"/>
      <c r="D8" s="303">
        <v>0</v>
      </c>
      <c r="E8" s="303">
        <v>0</v>
      </c>
      <c r="F8" s="303">
        <v>0</v>
      </c>
      <c r="G8" s="303">
        <v>0</v>
      </c>
      <c r="H8" s="303">
        <v>0</v>
      </c>
      <c r="I8" s="303">
        <v>0</v>
      </c>
      <c r="J8" s="303">
        <v>0</v>
      </c>
      <c r="K8" s="303">
        <v>0</v>
      </c>
      <c r="L8" s="303">
        <v>0</v>
      </c>
      <c r="M8" s="303">
        <v>0</v>
      </c>
      <c r="N8" s="303">
        <v>0</v>
      </c>
      <c r="O8" s="304">
        <v>0</v>
      </c>
    </row>
    <row r="9" spans="2:15" x14ac:dyDescent="0.25">
      <c r="B9" s="302" t="s">
        <v>23</v>
      </c>
      <c r="C9" s="305">
        <f>-'ΚΟΣΤΟΣ ΕΠΕΝΔΥΣΗΣ'!E22</f>
        <v>-2097875.4</v>
      </c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6"/>
    </row>
    <row r="10" spans="2:15" ht="25.5" x14ac:dyDescent="0.25">
      <c r="B10" s="298" t="s">
        <v>24</v>
      </c>
      <c r="C10" s="300">
        <f>C9</f>
        <v>-2097875.4</v>
      </c>
      <c r="D10" s="300">
        <f>D7-D8-D9</f>
        <v>226944.15310525009</v>
      </c>
      <c r="E10" s="300">
        <f t="shared" ref="E10:M10" si="2">E7-E8-E9</f>
        <v>228785.28213630256</v>
      </c>
      <c r="F10" s="300">
        <f t="shared" si="2"/>
        <v>230638.39777016558</v>
      </c>
      <c r="G10" s="300">
        <f t="shared" si="2"/>
        <v>232503.52350255477</v>
      </c>
      <c r="H10" s="300">
        <f t="shared" si="2"/>
        <v>234380.68161858816</v>
      </c>
      <c r="I10" s="300">
        <f t="shared" si="2"/>
        <v>236269.89315899694</v>
      </c>
      <c r="J10" s="300">
        <f t="shared" si="2"/>
        <v>238171.17788567318</v>
      </c>
      <c r="K10" s="300">
        <f t="shared" si="2"/>
        <v>240084.55424654245</v>
      </c>
      <c r="L10" s="300">
        <f t="shared" si="2"/>
        <v>242010.03933975066</v>
      </c>
      <c r="M10" s="300">
        <f t="shared" si="2"/>
        <v>243947.6488771521</v>
      </c>
      <c r="N10" s="300">
        <f t="shared" ref="N10:O10" si="3">N7-N8-N9</f>
        <v>245897.39714708755</v>
      </c>
      <c r="O10" s="301">
        <f t="shared" si="3"/>
        <v>247859.29697643983</v>
      </c>
    </row>
    <row r="11" spans="2:15" x14ac:dyDescent="0.25">
      <c r="B11" s="302" t="s">
        <v>25</v>
      </c>
      <c r="C11" s="305">
        <f>ΔΑΝΕΙΑ!C25</f>
        <v>0</v>
      </c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8"/>
    </row>
    <row r="12" spans="2:15" x14ac:dyDescent="0.25">
      <c r="B12" s="302" t="s">
        <v>220</v>
      </c>
      <c r="C12" s="305">
        <f>ΔΑΝΕΙΑ!C5</f>
        <v>1048937.7</v>
      </c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8"/>
    </row>
    <row r="13" spans="2:15" x14ac:dyDescent="0.25">
      <c r="B13" s="302" t="s">
        <v>26</v>
      </c>
      <c r="C13" s="305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8"/>
    </row>
    <row r="14" spans="2:15" x14ac:dyDescent="0.25">
      <c r="B14" s="302" t="s">
        <v>221</v>
      </c>
      <c r="C14" s="305">
        <f>ΔΑΝΕΙΑ!C15</f>
        <v>1048937.7</v>
      </c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</row>
    <row r="15" spans="2:15" ht="38.25" x14ac:dyDescent="0.25">
      <c r="B15" s="298" t="s">
        <v>27</v>
      </c>
      <c r="C15" s="300">
        <f>SUM(C10)</f>
        <v>-2097875.4</v>
      </c>
      <c r="D15" s="300">
        <f t="shared" ref="D15:O15" si="4">SUM(D10)</f>
        <v>226944.15310525009</v>
      </c>
      <c r="E15" s="300">
        <f t="shared" si="4"/>
        <v>228785.28213630256</v>
      </c>
      <c r="F15" s="300">
        <f t="shared" si="4"/>
        <v>230638.39777016558</v>
      </c>
      <c r="G15" s="300">
        <f t="shared" si="4"/>
        <v>232503.52350255477</v>
      </c>
      <c r="H15" s="300">
        <f t="shared" si="4"/>
        <v>234380.68161858816</v>
      </c>
      <c r="I15" s="300">
        <f t="shared" si="4"/>
        <v>236269.89315899694</v>
      </c>
      <c r="J15" s="300">
        <f t="shared" si="4"/>
        <v>238171.17788567318</v>
      </c>
      <c r="K15" s="300">
        <f t="shared" si="4"/>
        <v>240084.55424654245</v>
      </c>
      <c r="L15" s="300">
        <f t="shared" si="4"/>
        <v>242010.03933975066</v>
      </c>
      <c r="M15" s="300">
        <f t="shared" si="4"/>
        <v>243947.6488771521</v>
      </c>
      <c r="N15" s="300">
        <f t="shared" si="4"/>
        <v>245897.39714708755</v>
      </c>
      <c r="O15" s="301">
        <f t="shared" si="4"/>
        <v>247859.29697643983</v>
      </c>
    </row>
    <row r="16" spans="2:15" ht="38.25" x14ac:dyDescent="0.25">
      <c r="B16" s="298" t="s">
        <v>179</v>
      </c>
      <c r="C16" s="300">
        <f>C15</f>
        <v>-2097875.4</v>
      </c>
      <c r="D16" s="300">
        <f>C16+D15</f>
        <v>-1870931.2468947498</v>
      </c>
      <c r="E16" s="300">
        <f>D16+E15</f>
        <v>-1642145.9647584474</v>
      </c>
      <c r="F16" s="300">
        <f t="shared" ref="F16:M16" si="5">E16+F15</f>
        <v>-1411507.5669882819</v>
      </c>
      <c r="G16" s="300">
        <f t="shared" si="5"/>
        <v>-1179004.0434857272</v>
      </c>
      <c r="H16" s="300">
        <f t="shared" si="5"/>
        <v>-944623.361867139</v>
      </c>
      <c r="I16" s="300">
        <f t="shared" si="5"/>
        <v>-708353.46870814206</v>
      </c>
      <c r="J16" s="300">
        <f t="shared" si="5"/>
        <v>-470182.29082246887</v>
      </c>
      <c r="K16" s="300">
        <f t="shared" si="5"/>
        <v>-230097.73657592642</v>
      </c>
      <c r="L16" s="300">
        <f t="shared" si="5"/>
        <v>11912.302763824235</v>
      </c>
      <c r="M16" s="300">
        <f t="shared" si="5"/>
        <v>255859.95164097633</v>
      </c>
      <c r="N16" s="300">
        <f t="shared" ref="N16" si="6">M16+N15</f>
        <v>501757.34878806386</v>
      </c>
      <c r="O16" s="301">
        <f t="shared" ref="O16" si="7">N16+O15</f>
        <v>749616.64576450363</v>
      </c>
    </row>
    <row r="17" spans="2:15" ht="25.5" x14ac:dyDescent="0.25">
      <c r="B17" s="302" t="s">
        <v>222</v>
      </c>
      <c r="C17" s="291"/>
      <c r="D17" s="305">
        <f>ΔΑΝΕΙΑ!D11+ΔΑΝΕΙΑ!D12</f>
        <v>-110473.44304046543</v>
      </c>
      <c r="E17" s="305">
        <f>ΔΑΝΕΙΑ!E11+ΔΑΝΕΙΑ!E12</f>
        <v>-110473.44304046543</v>
      </c>
      <c r="F17" s="305">
        <f>ΔΑΝΕΙΑ!F11+ΔΑΝΕΙΑ!F12</f>
        <v>-110473.44304046543</v>
      </c>
      <c r="G17" s="305">
        <f>ΔΑΝΕΙΑ!G11+ΔΑΝΕΙΑ!G12</f>
        <v>-110473.44304046543</v>
      </c>
      <c r="H17" s="305">
        <f>ΔΑΝΕΙΑ!H11+ΔΑΝΕΙΑ!H12</f>
        <v>-110473.44304046543</v>
      </c>
      <c r="I17" s="305">
        <f>ΔΑΝΕΙΑ!I11+ΔΑΝΕΙΑ!I12</f>
        <v>-110473.44304046543</v>
      </c>
      <c r="J17" s="305">
        <f>ΔΑΝΕΙΑ!J11+ΔΑΝΕΙΑ!J12</f>
        <v>-110473.44304046544</v>
      </c>
      <c r="K17" s="305">
        <f>ΔΑΝΕΙΑ!K11+ΔΑΝΕΙΑ!K12</f>
        <v>-110473.44304046541</v>
      </c>
      <c r="L17" s="305">
        <f>ΔΑΝΕΙΑ!L11+ΔΑΝΕΙΑ!L12</f>
        <v>-110473.44304046543</v>
      </c>
      <c r="M17" s="305">
        <f>ΔΑΝΕΙΑ!M11+ΔΑΝΕΙΑ!M12</f>
        <v>-110473.44304046543</v>
      </c>
      <c r="N17" s="305">
        <f>ΔΑΝΕΙΑ!N11+ΔΑΝΕΙΑ!N12</f>
        <v>-110473.44304046543</v>
      </c>
      <c r="O17" s="309">
        <f>ΔΑΝΕΙΑ!O11+ΔΑΝΕΙΑ!O12</f>
        <v>-110473.44304046543</v>
      </c>
    </row>
    <row r="18" spans="2:15" ht="25.5" x14ac:dyDescent="0.25">
      <c r="B18" s="302" t="s">
        <v>223</v>
      </c>
      <c r="C18" s="291"/>
      <c r="D18" s="305">
        <f>ΔΑΝΕΙΑ!D21+ΔΑΝΕΙΑ!D22</f>
        <v>-115032.99967612923</v>
      </c>
      <c r="E18" s="305">
        <f>ΔΑΝΕΙΑ!E21+ΔΑΝΕΙΑ!E22</f>
        <v>-115032.99967612923</v>
      </c>
      <c r="F18" s="305">
        <f>ΔΑΝΕΙΑ!F21+ΔΑΝΕΙΑ!F22</f>
        <v>-115032.99967612923</v>
      </c>
      <c r="G18" s="305">
        <f>ΔΑΝΕΙΑ!G21+ΔΑΝΕΙΑ!G22</f>
        <v>-115032.99967612923</v>
      </c>
      <c r="H18" s="305">
        <f>ΔΑΝΕΙΑ!H21+ΔΑΝΕΙΑ!H22</f>
        <v>-115032.99967612923</v>
      </c>
      <c r="I18" s="305">
        <f>ΔΑΝΕΙΑ!I21+ΔΑΝΕΙΑ!I22</f>
        <v>-115032.99967612923</v>
      </c>
      <c r="J18" s="305">
        <f>ΔΑΝΕΙΑ!J21+ΔΑΝΕΙΑ!J22</f>
        <v>-115032.99967612923</v>
      </c>
      <c r="K18" s="305">
        <f>ΔΑΝΕΙΑ!K21+ΔΑΝΕΙΑ!K22</f>
        <v>-115032.99967612923</v>
      </c>
      <c r="L18" s="305">
        <f>ΔΑΝΕΙΑ!L21+ΔΑΝΕΙΑ!L22</f>
        <v>-115032.99967612923</v>
      </c>
      <c r="M18" s="305">
        <f>ΔΑΝΕΙΑ!M21+ΔΑΝΕΙΑ!M22</f>
        <v>-115032.99967612923</v>
      </c>
      <c r="N18" s="305">
        <f>ΔΑΝΕΙΑ!N21+ΔΑΝΕΙΑ!N22</f>
        <v>-115032.99967612923</v>
      </c>
      <c r="O18" s="309">
        <f>ΔΑΝΕΙΑ!O21+ΔΑΝΕΙΑ!O22</f>
        <v>-115032.99967612923</v>
      </c>
    </row>
    <row r="19" spans="2:15" ht="26.25" thickBot="1" x14ac:dyDescent="0.3">
      <c r="B19" s="310" t="s">
        <v>28</v>
      </c>
      <c r="C19" s="311">
        <f>C15+C18</f>
        <v>-2097875.4</v>
      </c>
      <c r="D19" s="311">
        <f>D15+D18+D17</f>
        <v>1437.7103886554396</v>
      </c>
      <c r="E19" s="311">
        <f t="shared" ref="E19:N19" si="8">E15+E18+E17</f>
        <v>3278.8394197079033</v>
      </c>
      <c r="F19" s="311">
        <f t="shared" si="8"/>
        <v>5131.9550535709277</v>
      </c>
      <c r="G19" s="311">
        <f t="shared" si="8"/>
        <v>6997.0807859601191</v>
      </c>
      <c r="H19" s="311">
        <f t="shared" si="8"/>
        <v>8874.2389019935072</v>
      </c>
      <c r="I19" s="311">
        <f t="shared" si="8"/>
        <v>10763.450442402289</v>
      </c>
      <c r="J19" s="311">
        <f t="shared" si="8"/>
        <v>12664.735169078514</v>
      </c>
      <c r="K19" s="311">
        <f t="shared" si="8"/>
        <v>14578.111529947812</v>
      </c>
      <c r="L19" s="311">
        <f t="shared" si="8"/>
        <v>16503.596623156001</v>
      </c>
      <c r="M19" s="311">
        <f t="shared" si="8"/>
        <v>18441.206160557442</v>
      </c>
      <c r="N19" s="311">
        <f t="shared" si="8"/>
        <v>20390.9544304929</v>
      </c>
      <c r="O19" s="312">
        <f>O15+O18+O17</f>
        <v>22352.854259845175</v>
      </c>
    </row>
    <row r="20" spans="2:15" ht="15.75" thickBot="1" x14ac:dyDescent="0.3">
      <c r="B20" s="396"/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8">
        <f>O30</f>
        <v>141414.73316536803</v>
      </c>
    </row>
    <row r="21" spans="2:15" s="3" customFormat="1" ht="15.75" thickBot="1" x14ac:dyDescent="0.3">
      <c r="B21" s="313"/>
      <c r="C21" s="314"/>
      <c r="D21" s="315"/>
      <c r="E21" s="314"/>
      <c r="F21" s="314"/>
      <c r="G21" s="314"/>
      <c r="H21" s="314"/>
      <c r="I21" s="314"/>
      <c r="J21" s="314"/>
      <c r="K21" s="314"/>
      <c r="L21" s="314"/>
      <c r="M21" s="501"/>
      <c r="N21" s="501"/>
      <c r="O21" s="501"/>
    </row>
    <row r="22" spans="2:15" x14ac:dyDescent="0.25">
      <c r="B22" s="316" t="s">
        <v>183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8"/>
    </row>
    <row r="23" spans="2:15" x14ac:dyDescent="0.25">
      <c r="B23" s="286" t="s">
        <v>178</v>
      </c>
      <c r="C23" s="319"/>
      <c r="D23" s="288">
        <v>1</v>
      </c>
      <c r="E23" s="288">
        <v>2</v>
      </c>
      <c r="F23" s="288">
        <v>3</v>
      </c>
      <c r="G23" s="288">
        <v>4</v>
      </c>
      <c r="H23" s="288">
        <v>5</v>
      </c>
      <c r="I23" s="288">
        <v>6</v>
      </c>
      <c r="J23" s="288">
        <v>7</v>
      </c>
      <c r="K23" s="288">
        <v>8</v>
      </c>
      <c r="L23" s="288">
        <v>9</v>
      </c>
      <c r="M23" s="288">
        <v>10</v>
      </c>
      <c r="N23" s="288">
        <v>11</v>
      </c>
      <c r="O23" s="289">
        <v>12</v>
      </c>
    </row>
    <row r="24" spans="2:15" ht="38.25" x14ac:dyDescent="0.25">
      <c r="B24" s="298" t="s">
        <v>177</v>
      </c>
      <c r="C24" s="22" t="str">
        <f>IFERROR(C15/-(C17+C18),"n/a")</f>
        <v>n/a</v>
      </c>
      <c r="D24" s="22">
        <f t="shared" ref="D24:O24" si="9">IFERROR(D15/-(D17+D18),"n/a")</f>
        <v>1.0063754736731059</v>
      </c>
      <c r="E24" s="22">
        <f t="shared" si="9"/>
        <v>1.0145398924314928</v>
      </c>
      <c r="F24" s="22">
        <f t="shared" si="9"/>
        <v>1.0227574653377887</v>
      </c>
      <c r="G24" s="22">
        <f t="shared" si="9"/>
        <v>1.0310282965828772</v>
      </c>
      <c r="H24" s="22">
        <f t="shared" si="9"/>
        <v>1.0393524849892923</v>
      </c>
      <c r="I24" s="22">
        <f t="shared" si="9"/>
        <v>1.0477301238613801</v>
      </c>
      <c r="J24" s="22">
        <f t="shared" si="9"/>
        <v>1.0561613008325217</v>
      </c>
      <c r="K24" s="22">
        <f t="shared" si="9"/>
        <v>1.0646460977093628</v>
      </c>
      <c r="L24" s="22">
        <f t="shared" si="9"/>
        <v>1.073184590313</v>
      </c>
      <c r="M24" s="22">
        <f t="shared" si="9"/>
        <v>1.081776848317072</v>
      </c>
      <c r="N24" s="22">
        <f t="shared" si="9"/>
        <v>1.0904229350826984</v>
      </c>
      <c r="O24" s="320">
        <f t="shared" si="9"/>
        <v>1.099122907490218</v>
      </c>
    </row>
    <row r="25" spans="2:15" x14ac:dyDescent="0.25">
      <c r="B25" s="298" t="s">
        <v>29</v>
      </c>
      <c r="C25" s="321">
        <f>MIRR(C19:O19,7%,10%)</f>
        <v>-0.17555815013095677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320"/>
    </row>
    <row r="26" spans="2:15" x14ac:dyDescent="0.25">
      <c r="B26" s="298" t="s">
        <v>30</v>
      </c>
      <c r="C26" s="322">
        <f>IRR(C19:O19,8%)</f>
        <v>-0.24936168441905737</v>
      </c>
      <c r="D26" s="323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5"/>
    </row>
    <row r="27" spans="2:15" x14ac:dyDescent="0.25">
      <c r="B27" s="302" t="s">
        <v>176</v>
      </c>
      <c r="C27" s="296">
        <v>0</v>
      </c>
      <c r="D27" s="324">
        <v>0</v>
      </c>
      <c r="E27" s="324">
        <v>0</v>
      </c>
      <c r="F27" s="324">
        <v>0</v>
      </c>
      <c r="G27" s="324">
        <v>0</v>
      </c>
      <c r="H27" s="324">
        <v>0</v>
      </c>
      <c r="I27" s="324">
        <v>0</v>
      </c>
      <c r="J27" s="324">
        <v>0</v>
      </c>
      <c r="K27" s="324">
        <v>0</v>
      </c>
      <c r="L27" s="324">
        <v>0</v>
      </c>
      <c r="M27" s="324">
        <v>0</v>
      </c>
      <c r="N27" s="324">
        <v>1</v>
      </c>
      <c r="O27" s="325">
        <v>2</v>
      </c>
    </row>
    <row r="28" spans="2:15" x14ac:dyDescent="0.25">
      <c r="B28" s="298" t="s">
        <v>31</v>
      </c>
      <c r="C28" s="326">
        <f>-C11+C27</f>
        <v>0</v>
      </c>
      <c r="D28" s="327">
        <v>0</v>
      </c>
      <c r="E28" s="327">
        <v>0</v>
      </c>
      <c r="F28" s="327">
        <v>0</v>
      </c>
      <c r="G28" s="327">
        <v>0</v>
      </c>
      <c r="H28" s="327">
        <v>0</v>
      </c>
      <c r="I28" s="327">
        <v>0</v>
      </c>
      <c r="J28" s="327">
        <v>0</v>
      </c>
      <c r="K28" s="327">
        <v>0</v>
      </c>
      <c r="L28" s="327">
        <v>0</v>
      </c>
      <c r="M28" s="327">
        <v>0</v>
      </c>
      <c r="N28" s="327">
        <v>0</v>
      </c>
      <c r="O28" s="328">
        <v>0</v>
      </c>
    </row>
    <row r="29" spans="2:15" ht="38.25" x14ac:dyDescent="0.25">
      <c r="B29" s="298" t="s">
        <v>181</v>
      </c>
      <c r="C29" s="329">
        <v>0</v>
      </c>
      <c r="D29" s="330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8"/>
    </row>
    <row r="30" spans="2:15" x14ac:dyDescent="0.25">
      <c r="B30" s="298" t="s">
        <v>65</v>
      </c>
      <c r="C30" s="331">
        <f>C19</f>
        <v>-2097875.4</v>
      </c>
      <c r="D30" s="331">
        <f>D15+D17+D18</f>
        <v>1437.7103886554396</v>
      </c>
      <c r="E30" s="331">
        <f t="shared" ref="E30:O30" si="10">D30+E19</f>
        <v>4716.5498083633429</v>
      </c>
      <c r="F30" s="331">
        <f t="shared" si="10"/>
        <v>9848.5048619342706</v>
      </c>
      <c r="G30" s="331">
        <f t="shared" si="10"/>
        <v>16845.58564789439</v>
      </c>
      <c r="H30" s="331">
        <f t="shared" si="10"/>
        <v>25719.824549887897</v>
      </c>
      <c r="I30" s="331">
        <f t="shared" si="10"/>
        <v>36483.274992290186</v>
      </c>
      <c r="J30" s="331">
        <f t="shared" si="10"/>
        <v>49148.0101613687</v>
      </c>
      <c r="K30" s="331">
        <f t="shared" si="10"/>
        <v>63726.121691316512</v>
      </c>
      <c r="L30" s="331">
        <f t="shared" si="10"/>
        <v>80229.718314472513</v>
      </c>
      <c r="M30" s="331">
        <f t="shared" si="10"/>
        <v>98670.924475029955</v>
      </c>
      <c r="N30" s="331">
        <f t="shared" si="10"/>
        <v>119061.87890552286</v>
      </c>
      <c r="O30" s="332">
        <f t="shared" si="10"/>
        <v>141414.73316536803</v>
      </c>
    </row>
    <row r="31" spans="2:15" ht="25.5" x14ac:dyDescent="0.25">
      <c r="B31" s="298" t="s">
        <v>32</v>
      </c>
      <c r="C31" s="333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23" t="s">
        <v>217</v>
      </c>
    </row>
    <row r="32" spans="2:15" x14ac:dyDescent="0.25">
      <c r="B32" s="298" t="s">
        <v>66</v>
      </c>
      <c r="C32" s="335">
        <f>C28</f>
        <v>0</v>
      </c>
      <c r="D32" s="336">
        <f>D28+C28</f>
        <v>0</v>
      </c>
      <c r="E32" s="336">
        <f t="shared" ref="E32:L32" si="11">E28+D28</f>
        <v>0</v>
      </c>
      <c r="F32" s="336">
        <f t="shared" si="11"/>
        <v>0</v>
      </c>
      <c r="G32" s="336">
        <f t="shared" si="11"/>
        <v>0</v>
      </c>
      <c r="H32" s="336">
        <f t="shared" si="11"/>
        <v>0</v>
      </c>
      <c r="I32" s="336">
        <f t="shared" si="11"/>
        <v>0</v>
      </c>
      <c r="J32" s="336">
        <f t="shared" si="11"/>
        <v>0</v>
      </c>
      <c r="K32" s="336">
        <f t="shared" si="11"/>
        <v>0</v>
      </c>
      <c r="L32" s="336">
        <f t="shared" si="11"/>
        <v>0</v>
      </c>
      <c r="M32" s="336">
        <f>M28+L28</f>
        <v>0</v>
      </c>
      <c r="N32" s="336">
        <f>N28+M28</f>
        <v>0</v>
      </c>
      <c r="O32" s="337">
        <f>O28+N28</f>
        <v>0</v>
      </c>
    </row>
    <row r="33" spans="2:16" ht="15.75" thickBot="1" x14ac:dyDescent="0.3">
      <c r="B33" s="338" t="s">
        <v>33</v>
      </c>
      <c r="C33" s="339">
        <f>C32/($C11+$C12+$C14)</f>
        <v>0</v>
      </c>
      <c r="D33" s="339">
        <f t="shared" ref="D33:O33" si="12">D32/($C11+$C12+$C14)</f>
        <v>0</v>
      </c>
      <c r="E33" s="339">
        <f t="shared" si="12"/>
        <v>0</v>
      </c>
      <c r="F33" s="339">
        <f t="shared" si="12"/>
        <v>0</v>
      </c>
      <c r="G33" s="339">
        <f t="shared" si="12"/>
        <v>0</v>
      </c>
      <c r="H33" s="339">
        <f t="shared" si="12"/>
        <v>0</v>
      </c>
      <c r="I33" s="339">
        <f t="shared" si="12"/>
        <v>0</v>
      </c>
      <c r="J33" s="339">
        <f t="shared" si="12"/>
        <v>0</v>
      </c>
      <c r="K33" s="339">
        <f t="shared" si="12"/>
        <v>0</v>
      </c>
      <c r="L33" s="339">
        <f t="shared" si="12"/>
        <v>0</v>
      </c>
      <c r="M33" s="339">
        <f>M32/($C11+$C12+$C14)</f>
        <v>0</v>
      </c>
      <c r="N33" s="339">
        <f t="shared" si="12"/>
        <v>0</v>
      </c>
      <c r="O33" s="340">
        <f t="shared" si="12"/>
        <v>0</v>
      </c>
    </row>
    <row r="34" spans="2:16" s="3" customFormat="1" x14ac:dyDescent="0.25"/>
    <row r="35" spans="2:16" s="3" customFormat="1" ht="15.75" thickBot="1" x14ac:dyDescent="0.3"/>
    <row r="36" spans="2:16" s="3" customFormat="1" x14ac:dyDescent="0.25">
      <c r="B36" s="341" t="s">
        <v>68</v>
      </c>
      <c r="C36" s="342">
        <f>AVERAGE(C33:N33)</f>
        <v>0</v>
      </c>
      <c r="P36" s="343"/>
    </row>
    <row r="37" spans="2:16" s="3" customFormat="1" ht="15.75" thickBot="1" x14ac:dyDescent="0.3">
      <c r="B37" s="344" t="s">
        <v>69</v>
      </c>
      <c r="C37" s="345">
        <f>AVERAGE(D24:M24)</f>
        <v>1.0437552574047892</v>
      </c>
      <c r="D37" s="4"/>
      <c r="E37" s="4"/>
      <c r="F37" s="346"/>
      <c r="G37" s="346"/>
      <c r="H37" s="346"/>
      <c r="I37" s="346"/>
      <c r="J37" s="346"/>
      <c r="K37" s="346"/>
      <c r="L37" s="346"/>
      <c r="M37" s="346"/>
      <c r="N37" s="346"/>
      <c r="O37" s="346"/>
    </row>
    <row r="38" spans="2:16" s="3" customFormat="1" x14ac:dyDescent="0.25">
      <c r="B38" s="4"/>
      <c r="C38" s="4"/>
      <c r="D38" s="4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</row>
    <row r="39" spans="2:16" s="3" customForma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2:16" s="3" customFormat="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2:16" s="3" customFormat="1" x14ac:dyDescent="0.25">
      <c r="B41" s="4"/>
      <c r="C41" s="25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2:16" s="3" customFormat="1" x14ac:dyDescent="0.25">
      <c r="B42" s="4"/>
      <c r="C42" s="25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6" s="3" customForma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6" s="3" customFormat="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2:16" s="3" customFormat="1" x14ac:dyDescent="0.25">
      <c r="B45" s="4"/>
      <c r="C45" s="4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4"/>
      <c r="O45" s="4"/>
    </row>
    <row r="46" spans="2:16" s="3" customFormat="1" x14ac:dyDescent="0.25"/>
    <row r="47" spans="2:16" s="3" customFormat="1" x14ac:dyDescent="0.25"/>
    <row r="48" spans="2:16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</sheetData>
  <mergeCells count="1">
    <mergeCell ref="M21:O2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ΑΡΧΙΚΗ</vt:lpstr>
      <vt:lpstr>ΔΕΔΟΜΕΝΑ</vt:lpstr>
      <vt:lpstr>ΠΑΡΑΔΟΧΕΣ </vt:lpstr>
      <vt:lpstr>ΒΑΣΙΚΟ ΣΕΝΑΡΙΟ</vt:lpstr>
      <vt:lpstr>ΚΟΣΤΟΣ ΕΠΕΝΔΥΣΗΣ</vt:lpstr>
      <vt:lpstr>ΧΡΗΜ. ΑΝΑΛΥΣΗ</vt:lpstr>
      <vt:lpstr>ΔΑΝΕΙΑ</vt:lpstr>
      <vt:lpstr>ΑΠΟΤΕΛΕΣΜΑΤΑ</vt:lpstr>
      <vt:lpstr>ΤΑΜΕΙΑΚΕΣ ΡΟΕΣ - ΔΕΙΚΤΕΣ</vt:lpstr>
      <vt:lpstr>ΣΥΓΚΕΝΤΡΩΤΙΚΑ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MYLONAKIS</dc:creator>
  <cp:lastModifiedBy>YiaMyl</cp:lastModifiedBy>
  <cp:lastPrinted>2013-11-07T12:49:19Z</cp:lastPrinted>
  <dcterms:created xsi:type="dcterms:W3CDTF">2013-11-04T12:50:45Z</dcterms:created>
  <dcterms:modified xsi:type="dcterms:W3CDTF">2017-05-23T22:17:29Z</dcterms:modified>
</cp:coreProperties>
</file>